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nagornaya\Desktop\РАСКРЫТИЕ\2020_факт\НАПРАВЛЕНО\"/>
    </mc:Choice>
  </mc:AlternateContent>
  <xr:revisionPtr revIDLastSave="0" documentId="13_ncr:1_{56A51DEC-D916-4D79-8B13-A01B8033CC7D}" xr6:coauthVersionLast="37" xr6:coauthVersionMax="37" xr10:uidLastSave="{00000000-0000-0000-0000-000000000000}"/>
  <bookViews>
    <workbookView xWindow="0" yWindow="0" windowWidth="28800" windowHeight="12225" tabRatio="602" firstSheet="1" activeTab="1" xr2:uid="{00000000-000D-0000-FFFF-FFFF00000000}"/>
  </bookViews>
  <sheets>
    <sheet name="Форма 2.8 Шаблон" sheetId="11" state="hidden" r:id="rId1"/>
    <sheet name="Форма 2.8" sheetId="19" r:id="rId2"/>
    <sheet name="Лист6" sheetId="20" state="hidden" r:id="rId3"/>
    <sheet name="Лист3" sheetId="16" state="hidden" r:id="rId4"/>
    <sheet name="Лист4" sheetId="17" state="hidden" r:id="rId5"/>
    <sheet name="Лист2" sheetId="15" state="hidden" r:id="rId6"/>
    <sheet name="Лист5" sheetId="18" state="hidden" r:id="rId7"/>
    <sheet name="Лист1" sheetId="13" state="hidden" r:id="rId8"/>
    <sheet name="Форма 2.8 Шаблон (для реформы)" sheetId="14" state="hidden" r:id="rId9"/>
    <sheet name="нагорная" sheetId="12" state="hidden" r:id="rId10"/>
  </sheets>
  <definedNames>
    <definedName name="_xlnm._FilterDatabase" localSheetId="6" hidden="1">Лист5!$A$1:$O$60</definedName>
    <definedName name="_xlnm._FilterDatabase" localSheetId="1" hidden="1">'Форма 2.8'!$A$3:$AG$3</definedName>
    <definedName name="_xlnm._FilterDatabase" localSheetId="0" hidden="1">'Форма 2.8 Шаблон'!$A$3:$AH$3</definedName>
    <definedName name="_xlnm._FilterDatabase" localSheetId="8" hidden="1">'Форма 2.8 Шаблон (для реформы)'!$A$3:$AD$3</definedName>
    <definedName name="_xlnm.Print_Titles" localSheetId="8">'Форма 2.8 Шаблон (для реформы)'!$A:$C,'Форма 2.8 Шаблон (для реформы)'!$1:$3</definedName>
    <definedName name="_xlnm.Print_Area" localSheetId="8">'Форма 2.8 Шаблон (для реформы)'!$A$1:$Z$234</definedName>
  </definedNames>
  <calcPr calcId="179021"/>
</workbook>
</file>

<file path=xl/calcChain.xml><?xml version="1.0" encoding="utf-8"?>
<calcChain xmlns="http://schemas.openxmlformats.org/spreadsheetml/2006/main">
  <c r="S228" i="19" l="1"/>
  <c r="R228" i="19"/>
  <c r="Q228" i="19"/>
  <c r="P228" i="19"/>
  <c r="O228" i="19"/>
  <c r="N228" i="19"/>
  <c r="M228" i="19"/>
  <c r="L228" i="19"/>
  <c r="K228" i="19"/>
  <c r="J228" i="19"/>
  <c r="H228" i="19"/>
  <c r="G228" i="19"/>
  <c r="F228" i="19"/>
  <c r="E228" i="19"/>
  <c r="D228" i="19"/>
  <c r="K64" i="19" l="1"/>
  <c r="J64" i="19"/>
  <c r="E64" i="19"/>
  <c r="D64" i="19"/>
  <c r="D68" i="19" s="1"/>
  <c r="S64" i="19"/>
  <c r="R64" i="19"/>
  <c r="Q64" i="19"/>
  <c r="P64" i="19"/>
  <c r="P68" i="19" s="1"/>
  <c r="M64" i="19"/>
  <c r="L64" i="19"/>
  <c r="I64" i="19"/>
  <c r="H64" i="19"/>
  <c r="G64" i="19"/>
  <c r="G68" i="19" s="1"/>
  <c r="F64" i="19"/>
  <c r="F68" i="19" s="1"/>
  <c r="AE58" i="19"/>
  <c r="AE46" i="19"/>
  <c r="I40" i="19"/>
  <c r="E40" i="19"/>
  <c r="D40" i="19"/>
  <c r="D44" i="19" s="1"/>
  <c r="AE2" i="19"/>
  <c r="N34" i="19" s="1"/>
  <c r="N38" i="19" s="1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E98" i="19"/>
  <c r="D98" i="19"/>
  <c r="S68" i="19"/>
  <c r="R68" i="19"/>
  <c r="Q68" i="19"/>
  <c r="O68" i="19"/>
  <c r="N68" i="19"/>
  <c r="M68" i="19"/>
  <c r="L68" i="19"/>
  <c r="K68" i="19"/>
  <c r="J68" i="19"/>
  <c r="I68" i="19"/>
  <c r="H68" i="19"/>
  <c r="E68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K32" i="19"/>
  <c r="L32" i="19"/>
  <c r="M32" i="19"/>
  <c r="N32" i="19"/>
  <c r="O32" i="19"/>
  <c r="P32" i="19"/>
  <c r="Q32" i="19"/>
  <c r="R32" i="19"/>
  <c r="S32" i="19"/>
  <c r="D32" i="19"/>
  <c r="E32" i="19"/>
  <c r="F32" i="19"/>
  <c r="G32" i="19"/>
  <c r="H32" i="19"/>
  <c r="I32" i="19"/>
  <c r="J32" i="19"/>
  <c r="AE28" i="19"/>
  <c r="AE40" i="19" l="1"/>
  <c r="I34" i="19"/>
  <c r="I38" i="19" s="1"/>
  <c r="P34" i="19"/>
  <c r="P38" i="19" s="1"/>
  <c r="J34" i="19"/>
  <c r="J38" i="19" s="1"/>
  <c r="Q34" i="19"/>
  <c r="Q38" i="19" s="1"/>
  <c r="E34" i="19"/>
  <c r="E38" i="19" s="1"/>
  <c r="K34" i="19"/>
  <c r="K38" i="19" s="1"/>
  <c r="L34" i="19"/>
  <c r="L38" i="19" s="1"/>
  <c r="S34" i="19"/>
  <c r="S38" i="19" s="1"/>
  <c r="F34" i="19"/>
  <c r="F38" i="19" s="1"/>
  <c r="M34" i="19"/>
  <c r="M38" i="19" s="1"/>
  <c r="R34" i="19"/>
  <c r="R38" i="19" s="1"/>
  <c r="D34" i="19"/>
  <c r="G34" i="19"/>
  <c r="G38" i="19" s="1"/>
  <c r="D38" i="19"/>
  <c r="H34" i="19"/>
  <c r="H38" i="19" s="1"/>
  <c r="O34" i="19"/>
  <c r="O38" i="19" s="1"/>
  <c r="S229" i="19"/>
  <c r="R229" i="19"/>
  <c r="L229" i="19"/>
  <c r="K229" i="19"/>
  <c r="J229" i="19"/>
  <c r="H229" i="19"/>
  <c r="G229" i="19"/>
  <c r="F229" i="19"/>
  <c r="E229" i="19"/>
  <c r="D229" i="19"/>
  <c r="S218" i="19"/>
  <c r="K218" i="19"/>
  <c r="J218" i="19"/>
  <c r="E218" i="19"/>
  <c r="D218" i="19"/>
  <c r="D221" i="19" s="1"/>
  <c r="S207" i="19"/>
  <c r="P208" i="19"/>
  <c r="K207" i="19"/>
  <c r="J207" i="19"/>
  <c r="E207" i="19"/>
  <c r="D207" i="19"/>
  <c r="S196" i="19" l="1"/>
  <c r="K196" i="19"/>
  <c r="J196" i="19"/>
  <c r="E196" i="19"/>
  <c r="D196" i="19" l="1"/>
  <c r="S185" i="19"/>
  <c r="R185" i="19"/>
  <c r="Q186" i="19"/>
  <c r="K185" i="19"/>
  <c r="J187" i="19"/>
  <c r="J185" i="19"/>
  <c r="J188" i="19" s="1"/>
  <c r="E185" i="19"/>
  <c r="D185" i="19"/>
  <c r="S174" i="19"/>
  <c r="R174" i="19"/>
  <c r="L174" i="19"/>
  <c r="K176" i="19"/>
  <c r="K175" i="19"/>
  <c r="K174" i="19"/>
  <c r="J176" i="19"/>
  <c r="J174" i="19"/>
  <c r="E174" i="19"/>
  <c r="E176" i="19"/>
  <c r="E175" i="19"/>
  <c r="D174" i="19"/>
  <c r="D176" i="19"/>
  <c r="D175" i="19"/>
  <c r="D177" i="19" l="1"/>
  <c r="E177" i="19"/>
  <c r="AE236" i="19"/>
  <c r="AE233" i="19"/>
  <c r="S232" i="19"/>
  <c r="R232" i="19"/>
  <c r="Q232" i="19"/>
  <c r="P232" i="19"/>
  <c r="O232" i="19"/>
  <c r="N232" i="19"/>
  <c r="M232" i="19"/>
  <c r="L232" i="19"/>
  <c r="K232" i="19"/>
  <c r="J232" i="19"/>
  <c r="I232" i="19"/>
  <c r="H232" i="19"/>
  <c r="G232" i="19"/>
  <c r="F232" i="19"/>
  <c r="E232" i="19"/>
  <c r="D232" i="19"/>
  <c r="AE231" i="19"/>
  <c r="AE230" i="19"/>
  <c r="AE229" i="19"/>
  <c r="AE228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F221" i="19"/>
  <c r="E221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F210" i="19"/>
  <c r="E210" i="19"/>
  <c r="D210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E199" i="19"/>
  <c r="D199" i="19"/>
  <c r="S188" i="19"/>
  <c r="R188" i="19"/>
  <c r="Q188" i="19"/>
  <c r="P188" i="19"/>
  <c r="O188" i="19"/>
  <c r="N188" i="19"/>
  <c r="M188" i="19"/>
  <c r="L188" i="19"/>
  <c r="K188" i="19"/>
  <c r="I188" i="19"/>
  <c r="H188" i="19"/>
  <c r="G188" i="19"/>
  <c r="F188" i="19"/>
  <c r="E188" i="19"/>
  <c r="D188" i="19"/>
  <c r="S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F177" i="19"/>
  <c r="E166" i="19"/>
  <c r="F166" i="19"/>
  <c r="G166" i="19"/>
  <c r="H166" i="19"/>
  <c r="I166" i="19"/>
  <c r="J166" i="19"/>
  <c r="K166" i="19"/>
  <c r="L166" i="19"/>
  <c r="M166" i="19"/>
  <c r="N166" i="19"/>
  <c r="O166" i="19"/>
  <c r="P166" i="19"/>
  <c r="Q166" i="19"/>
  <c r="R166" i="19"/>
  <c r="S166" i="19"/>
  <c r="D166" i="19"/>
  <c r="D12" i="19"/>
  <c r="E235" i="19" l="1"/>
  <c r="M235" i="19"/>
  <c r="E234" i="19"/>
  <c r="M234" i="19"/>
  <c r="D235" i="19"/>
  <c r="F235" i="19"/>
  <c r="N235" i="19"/>
  <c r="F234" i="19"/>
  <c r="N234" i="19"/>
  <c r="Q234" i="19"/>
  <c r="L235" i="19"/>
  <c r="G235" i="19"/>
  <c r="O235" i="19"/>
  <c r="G234" i="19"/>
  <c r="O234" i="19"/>
  <c r="H235" i="19"/>
  <c r="P235" i="19"/>
  <c r="H234" i="19"/>
  <c r="P234" i="19"/>
  <c r="Q235" i="19"/>
  <c r="L234" i="19"/>
  <c r="I235" i="19"/>
  <c r="I234" i="19"/>
  <c r="J235" i="19"/>
  <c r="R235" i="19"/>
  <c r="J234" i="19"/>
  <c r="R234" i="19"/>
  <c r="K235" i="19"/>
  <c r="S235" i="19"/>
  <c r="K234" i="19"/>
  <c r="S234" i="19"/>
  <c r="D234" i="19"/>
  <c r="AE232" i="19"/>
  <c r="AE245" i="19"/>
  <c r="AE244" i="19"/>
  <c r="AE243" i="19"/>
  <c r="AE241" i="19"/>
  <c r="AE240" i="19"/>
  <c r="AE239" i="19"/>
  <c r="AE238" i="19"/>
  <c r="AE225" i="19"/>
  <c r="AE222" i="19"/>
  <c r="AE221" i="19"/>
  <c r="AE220" i="19"/>
  <c r="AE219" i="19"/>
  <c r="AE218" i="19"/>
  <c r="AE217" i="19"/>
  <c r="AE214" i="19"/>
  <c r="AE211" i="19"/>
  <c r="AE210" i="19"/>
  <c r="AE209" i="19"/>
  <c r="AE208" i="19"/>
  <c r="AE207" i="19"/>
  <c r="AE206" i="19"/>
  <c r="AE203" i="19"/>
  <c r="AE200" i="19"/>
  <c r="AE199" i="19"/>
  <c r="AE198" i="19"/>
  <c r="AE197" i="19"/>
  <c r="AE196" i="19"/>
  <c r="AE195" i="19"/>
  <c r="AE192" i="19"/>
  <c r="AE189" i="19"/>
  <c r="AE188" i="19"/>
  <c r="AE187" i="19"/>
  <c r="AE186" i="19"/>
  <c r="AE185" i="19"/>
  <c r="AE184" i="19"/>
  <c r="AE181" i="19"/>
  <c r="AE178" i="19"/>
  <c r="AE177" i="19"/>
  <c r="AE176" i="19"/>
  <c r="AE175" i="19"/>
  <c r="AE174" i="19"/>
  <c r="AE173" i="19"/>
  <c r="AE170" i="19"/>
  <c r="AE167" i="19"/>
  <c r="AE166" i="19"/>
  <c r="AE165" i="19"/>
  <c r="AE164" i="19"/>
  <c r="AE163" i="19"/>
  <c r="AE162" i="19"/>
  <c r="AE158" i="19"/>
  <c r="AE157" i="19"/>
  <c r="AE156" i="19"/>
  <c r="AE155" i="19"/>
  <c r="AE154" i="19"/>
  <c r="AE153" i="19"/>
  <c r="AE151" i="19"/>
  <c r="AE150" i="19"/>
  <c r="AE149" i="19"/>
  <c r="AE148" i="19"/>
  <c r="AE234" i="19" l="1"/>
  <c r="L168" i="19"/>
  <c r="F168" i="19"/>
  <c r="I169" i="19"/>
  <c r="Q169" i="19"/>
  <c r="P168" i="19"/>
  <c r="S168" i="19"/>
  <c r="M168" i="19"/>
  <c r="G168" i="19"/>
  <c r="J169" i="19"/>
  <c r="R169" i="19"/>
  <c r="N168" i="19"/>
  <c r="H168" i="19"/>
  <c r="S169" i="19"/>
  <c r="M169" i="19"/>
  <c r="K169" i="19"/>
  <c r="P169" i="19"/>
  <c r="O168" i="19"/>
  <c r="I168" i="19"/>
  <c r="L169" i="19"/>
  <c r="D169" i="19"/>
  <c r="E169" i="19"/>
  <c r="G169" i="19"/>
  <c r="H169" i="19"/>
  <c r="Q168" i="19"/>
  <c r="F169" i="19"/>
  <c r="N169" i="19"/>
  <c r="R168" i="19"/>
  <c r="O169" i="19"/>
  <c r="E191" i="19"/>
  <c r="M191" i="19"/>
  <c r="E190" i="19"/>
  <c r="M190" i="19"/>
  <c r="Q190" i="19"/>
  <c r="L191" i="19"/>
  <c r="F191" i="19"/>
  <c r="N191" i="19"/>
  <c r="F190" i="19"/>
  <c r="N190" i="19"/>
  <c r="G190" i="19"/>
  <c r="I190" i="19"/>
  <c r="D191" i="19"/>
  <c r="G191" i="19"/>
  <c r="O191" i="19"/>
  <c r="O190" i="19"/>
  <c r="D190" i="19"/>
  <c r="H191" i="19"/>
  <c r="P191" i="19"/>
  <c r="H190" i="19"/>
  <c r="P190" i="19"/>
  <c r="Q191" i="19"/>
  <c r="I191" i="19"/>
  <c r="J191" i="19"/>
  <c r="R191" i="19"/>
  <c r="J190" i="19"/>
  <c r="R190" i="19"/>
  <c r="K191" i="19"/>
  <c r="S191" i="19"/>
  <c r="K190" i="19"/>
  <c r="S190" i="19"/>
  <c r="L190" i="19"/>
  <c r="E223" i="19"/>
  <c r="M223" i="19"/>
  <c r="Q223" i="19"/>
  <c r="F223" i="19"/>
  <c r="N223" i="19"/>
  <c r="G223" i="19"/>
  <c r="O223" i="19"/>
  <c r="H223" i="19"/>
  <c r="P223" i="19"/>
  <c r="I223" i="19"/>
  <c r="L223" i="19"/>
  <c r="J223" i="19"/>
  <c r="R223" i="19"/>
  <c r="K223" i="19"/>
  <c r="S223" i="19"/>
  <c r="D223" i="19"/>
  <c r="E180" i="19"/>
  <c r="M180" i="19"/>
  <c r="E179" i="19"/>
  <c r="M179" i="19"/>
  <c r="K179" i="19"/>
  <c r="F180" i="19"/>
  <c r="N180" i="19"/>
  <c r="F179" i="19"/>
  <c r="N179" i="19"/>
  <c r="G180" i="19"/>
  <c r="O180" i="19"/>
  <c r="O179" i="19"/>
  <c r="L179" i="19"/>
  <c r="G179" i="19"/>
  <c r="L180" i="19"/>
  <c r="H180" i="19"/>
  <c r="P180" i="19"/>
  <c r="H179" i="19"/>
  <c r="P179" i="19"/>
  <c r="I180" i="19"/>
  <c r="Q180" i="19"/>
  <c r="I179" i="19"/>
  <c r="Q179" i="19"/>
  <c r="S179" i="19"/>
  <c r="D179" i="19"/>
  <c r="J180" i="19"/>
  <c r="R180" i="19"/>
  <c r="J179" i="19"/>
  <c r="R179" i="19"/>
  <c r="K180" i="19"/>
  <c r="S180" i="19"/>
  <c r="D180" i="19"/>
  <c r="E202" i="19"/>
  <c r="M202" i="19"/>
  <c r="E201" i="19"/>
  <c r="M201" i="19"/>
  <c r="F202" i="19"/>
  <c r="N202" i="19"/>
  <c r="F201" i="19"/>
  <c r="N201" i="19"/>
  <c r="O201" i="19"/>
  <c r="G202" i="19"/>
  <c r="O202" i="19"/>
  <c r="G201" i="19"/>
  <c r="D201" i="19"/>
  <c r="H202" i="19"/>
  <c r="P202" i="19"/>
  <c r="H201" i="19"/>
  <c r="P201" i="19"/>
  <c r="I202" i="19"/>
  <c r="Q202" i="19"/>
  <c r="I201" i="19"/>
  <c r="Q201" i="19"/>
  <c r="L201" i="19"/>
  <c r="D202" i="19"/>
  <c r="J202" i="19"/>
  <c r="R202" i="19"/>
  <c r="J201" i="19"/>
  <c r="R201" i="19"/>
  <c r="K202" i="19"/>
  <c r="S202" i="19"/>
  <c r="K201" i="19"/>
  <c r="S201" i="19"/>
  <c r="L202" i="19"/>
  <c r="E213" i="19"/>
  <c r="M213" i="19"/>
  <c r="E212" i="19"/>
  <c r="M212" i="19"/>
  <c r="L213" i="19"/>
  <c r="F213" i="19"/>
  <c r="N213" i="19"/>
  <c r="F212" i="19"/>
  <c r="N212" i="19"/>
  <c r="L212" i="19"/>
  <c r="G213" i="19"/>
  <c r="O213" i="19"/>
  <c r="G212" i="19"/>
  <c r="O212" i="19"/>
  <c r="Q213" i="19"/>
  <c r="D212" i="19"/>
  <c r="H213" i="19"/>
  <c r="P213" i="19"/>
  <c r="H212" i="19"/>
  <c r="P212" i="19"/>
  <c r="I213" i="19"/>
  <c r="Q212" i="19"/>
  <c r="I212" i="19"/>
  <c r="D213" i="19"/>
  <c r="J213" i="19"/>
  <c r="R213" i="19"/>
  <c r="J212" i="19"/>
  <c r="R212" i="19"/>
  <c r="K213" i="19"/>
  <c r="S213" i="19"/>
  <c r="K212" i="19"/>
  <c r="S212" i="19"/>
  <c r="AE235" i="19"/>
  <c r="K168" i="19"/>
  <c r="J168" i="19"/>
  <c r="D168" i="19"/>
  <c r="E168" i="19"/>
  <c r="AE18" i="19"/>
  <c r="AE19" i="19"/>
  <c r="AE20" i="19"/>
  <c r="AE21" i="19"/>
  <c r="AE23" i="19"/>
  <c r="AE24" i="19"/>
  <c r="AE9" i="19"/>
  <c r="AE10" i="19"/>
  <c r="AE11" i="19"/>
  <c r="AE13" i="19"/>
  <c r="AE14" i="19"/>
  <c r="AE15" i="19"/>
  <c r="AE17" i="19"/>
  <c r="E12" i="19"/>
  <c r="E16" i="19"/>
  <c r="E22" i="19" s="1"/>
  <c r="F16" i="19"/>
  <c r="F22" i="19" s="1"/>
  <c r="G16" i="19"/>
  <c r="G22" i="19" s="1"/>
  <c r="H16" i="19"/>
  <c r="I16" i="19"/>
  <c r="I22" i="19" s="1"/>
  <c r="J16" i="19"/>
  <c r="K16" i="19"/>
  <c r="K22" i="19" s="1"/>
  <c r="L16" i="19"/>
  <c r="L22" i="19" s="1"/>
  <c r="M16" i="19"/>
  <c r="M22" i="19" s="1"/>
  <c r="N16" i="19"/>
  <c r="N22" i="19" s="1"/>
  <c r="O16" i="19"/>
  <c r="O22" i="19" s="1"/>
  <c r="P16" i="19"/>
  <c r="P22" i="19" s="1"/>
  <c r="Q16" i="19"/>
  <c r="Q22" i="19" s="1"/>
  <c r="R16" i="19"/>
  <c r="R22" i="19" s="1"/>
  <c r="S16" i="19"/>
  <c r="S22" i="19" s="1"/>
  <c r="D16" i="19"/>
  <c r="D25" i="19" s="1"/>
  <c r="F12" i="19"/>
  <c r="G12" i="19"/>
  <c r="H12" i="19"/>
  <c r="I12" i="19"/>
  <c r="J12" i="19"/>
  <c r="K12" i="19"/>
  <c r="L12" i="19"/>
  <c r="M12" i="19"/>
  <c r="N12" i="19"/>
  <c r="N25" i="19" s="1"/>
  <c r="O12" i="19"/>
  <c r="O25" i="19" s="1"/>
  <c r="P12" i="19"/>
  <c r="Q12" i="19"/>
  <c r="R12" i="19"/>
  <c r="S12" i="19"/>
  <c r="AE213" i="19" l="1"/>
  <c r="AE179" i="19"/>
  <c r="AE190" i="19"/>
  <c r="AE201" i="19"/>
  <c r="AE191" i="19"/>
  <c r="AE212" i="19"/>
  <c r="AE180" i="19"/>
  <c r="AE223" i="19"/>
  <c r="AE169" i="19"/>
  <c r="AE202" i="19"/>
  <c r="AE168" i="19"/>
  <c r="R25" i="19"/>
  <c r="Q25" i="19"/>
  <c r="P25" i="19"/>
  <c r="J25" i="19"/>
  <c r="AE12" i="19"/>
  <c r="H25" i="19"/>
  <c r="D22" i="19"/>
  <c r="AE16" i="19"/>
  <c r="S25" i="19"/>
  <c r="M25" i="19"/>
  <c r="L25" i="19"/>
  <c r="K25" i="19"/>
  <c r="J22" i="19"/>
  <c r="I25" i="19"/>
  <c r="H22" i="19"/>
  <c r="G25" i="19"/>
  <c r="F25" i="19"/>
  <c r="E25" i="19"/>
  <c r="E224" i="19" l="1"/>
  <c r="M224" i="19"/>
  <c r="F224" i="19"/>
  <c r="N224" i="19"/>
  <c r="G224" i="19"/>
  <c r="O224" i="19"/>
  <c r="L224" i="19"/>
  <c r="H224" i="19"/>
  <c r="P224" i="19"/>
  <c r="I224" i="19"/>
  <c r="Q224" i="19"/>
  <c r="D224" i="19"/>
  <c r="J224" i="19"/>
  <c r="R224" i="19"/>
  <c r="K224" i="19"/>
  <c r="S224" i="19"/>
  <c r="AE22" i="19"/>
  <c r="AE25" i="19"/>
  <c r="AE224" i="19" l="1"/>
  <c r="I198" i="20"/>
  <c r="D198" i="20"/>
  <c r="C198" i="20"/>
  <c r="M198" i="20" s="1"/>
  <c r="I197" i="20"/>
  <c r="D197" i="20"/>
  <c r="C197" i="20"/>
  <c r="I196" i="20"/>
  <c r="D196" i="20"/>
  <c r="C196" i="20"/>
  <c r="I195" i="20"/>
  <c r="D195" i="20"/>
  <c r="C195" i="20"/>
  <c r="I194" i="20"/>
  <c r="D194" i="20"/>
  <c r="C194" i="20"/>
  <c r="I193" i="20"/>
  <c r="D193" i="20"/>
  <c r="C193" i="20"/>
  <c r="I192" i="20"/>
  <c r="D192" i="20"/>
  <c r="C192" i="20"/>
  <c r="I191" i="20"/>
  <c r="D191" i="20"/>
  <c r="C191" i="20"/>
  <c r="I190" i="20"/>
  <c r="D190" i="20"/>
  <c r="C190" i="20"/>
  <c r="I189" i="20"/>
  <c r="D189" i="20"/>
  <c r="C189" i="20"/>
  <c r="I188" i="20"/>
  <c r="D188" i="20"/>
  <c r="C188" i="20"/>
  <c r="I187" i="20"/>
  <c r="L186" i="20"/>
  <c r="K186" i="20"/>
  <c r="J186" i="20"/>
  <c r="H186" i="20"/>
  <c r="G186" i="20"/>
  <c r="F186" i="20"/>
  <c r="E186" i="20"/>
  <c r="D186" i="20"/>
  <c r="C186" i="20"/>
  <c r="I185" i="20"/>
  <c r="D185" i="20"/>
  <c r="C185" i="20"/>
  <c r="I184" i="20"/>
  <c r="D184" i="20"/>
  <c r="C184" i="20"/>
  <c r="I183" i="20"/>
  <c r="D183" i="20"/>
  <c r="C183" i="20"/>
  <c r="I182" i="20"/>
  <c r="D182" i="20"/>
  <c r="C182" i="20"/>
  <c r="I181" i="20"/>
  <c r="D181" i="20"/>
  <c r="C181" i="20"/>
  <c r="I180" i="20"/>
  <c r="D180" i="20"/>
  <c r="C180" i="20"/>
  <c r="I179" i="20"/>
  <c r="D179" i="20"/>
  <c r="C179" i="20"/>
  <c r="I178" i="20"/>
  <c r="D178" i="20"/>
  <c r="C178" i="20"/>
  <c r="I177" i="20"/>
  <c r="D177" i="20"/>
  <c r="C177" i="20"/>
  <c r="I176" i="20"/>
  <c r="D176" i="20"/>
  <c r="C176" i="20"/>
  <c r="I175" i="20"/>
  <c r="D175" i="20"/>
  <c r="C175" i="20"/>
  <c r="I174" i="20"/>
  <c r="L173" i="20"/>
  <c r="K173" i="20"/>
  <c r="J173" i="20"/>
  <c r="H173" i="20"/>
  <c r="G173" i="20"/>
  <c r="F173" i="20"/>
  <c r="E173" i="20"/>
  <c r="D173" i="20"/>
  <c r="C173" i="20"/>
  <c r="I172" i="20"/>
  <c r="D172" i="20"/>
  <c r="C172" i="20"/>
  <c r="I171" i="20"/>
  <c r="D171" i="20"/>
  <c r="C171" i="20"/>
  <c r="I170" i="20"/>
  <c r="D170" i="20"/>
  <c r="C170" i="20"/>
  <c r="I169" i="20"/>
  <c r="D169" i="20"/>
  <c r="C169" i="20"/>
  <c r="I168" i="20"/>
  <c r="D168" i="20"/>
  <c r="C168" i="20"/>
  <c r="I167" i="20"/>
  <c r="D167" i="20"/>
  <c r="C167" i="20"/>
  <c r="I166" i="20"/>
  <c r="D166" i="20"/>
  <c r="C166" i="20"/>
  <c r="I165" i="20"/>
  <c r="D165" i="20"/>
  <c r="C165" i="20"/>
  <c r="I164" i="20"/>
  <c r="D164" i="20"/>
  <c r="C164" i="20"/>
  <c r="I163" i="20"/>
  <c r="D163" i="20"/>
  <c r="C163" i="20"/>
  <c r="I162" i="20"/>
  <c r="D162" i="20"/>
  <c r="C162" i="20"/>
  <c r="I161" i="20"/>
  <c r="L160" i="20"/>
  <c r="K160" i="20"/>
  <c r="J160" i="20"/>
  <c r="H160" i="20"/>
  <c r="G160" i="20"/>
  <c r="F160" i="20"/>
  <c r="E160" i="20"/>
  <c r="D160" i="20"/>
  <c r="C160" i="20"/>
  <c r="I159" i="20"/>
  <c r="D159" i="20"/>
  <c r="C159" i="20"/>
  <c r="I158" i="20"/>
  <c r="D158" i="20"/>
  <c r="C158" i="20"/>
  <c r="I157" i="20"/>
  <c r="D157" i="20"/>
  <c r="C157" i="20"/>
  <c r="I156" i="20"/>
  <c r="D156" i="20"/>
  <c r="C156" i="20"/>
  <c r="M156" i="20" s="1"/>
  <c r="I155" i="20"/>
  <c r="D155" i="20"/>
  <c r="C155" i="20"/>
  <c r="I154" i="20"/>
  <c r="D154" i="20"/>
  <c r="C154" i="20"/>
  <c r="I153" i="20"/>
  <c r="D153" i="20"/>
  <c r="C153" i="20"/>
  <c r="I152" i="20"/>
  <c r="D152" i="20"/>
  <c r="C152" i="20"/>
  <c r="I151" i="20"/>
  <c r="D151" i="20"/>
  <c r="C151" i="20"/>
  <c r="I150" i="20"/>
  <c r="D150" i="20"/>
  <c r="C150" i="20"/>
  <c r="I149" i="20"/>
  <c r="D149" i="20"/>
  <c r="C149" i="20"/>
  <c r="I148" i="20"/>
  <c r="L147" i="20"/>
  <c r="K147" i="20"/>
  <c r="J147" i="20"/>
  <c r="H147" i="20"/>
  <c r="G147" i="20"/>
  <c r="F147" i="20"/>
  <c r="E147" i="20"/>
  <c r="D147" i="20"/>
  <c r="C147" i="20"/>
  <c r="I146" i="20"/>
  <c r="D146" i="20"/>
  <c r="C146" i="20"/>
  <c r="I145" i="20"/>
  <c r="D145" i="20"/>
  <c r="C145" i="20"/>
  <c r="I144" i="20"/>
  <c r="D144" i="20"/>
  <c r="C144" i="20"/>
  <c r="I143" i="20"/>
  <c r="D143" i="20"/>
  <c r="C143" i="20"/>
  <c r="I142" i="20"/>
  <c r="D142" i="20"/>
  <c r="C142" i="20"/>
  <c r="I141" i="20"/>
  <c r="D141" i="20"/>
  <c r="C141" i="20"/>
  <c r="I140" i="20"/>
  <c r="D140" i="20"/>
  <c r="C140" i="20"/>
  <c r="I139" i="20"/>
  <c r="D139" i="20"/>
  <c r="C139" i="20"/>
  <c r="I138" i="20"/>
  <c r="D138" i="20"/>
  <c r="C138" i="20"/>
  <c r="I137" i="20"/>
  <c r="D137" i="20"/>
  <c r="C137" i="20"/>
  <c r="I136" i="20"/>
  <c r="D136" i="20"/>
  <c r="C136" i="20"/>
  <c r="I135" i="20"/>
  <c r="M135" i="20" s="1"/>
  <c r="L134" i="20"/>
  <c r="K134" i="20"/>
  <c r="J134" i="20"/>
  <c r="H134" i="20"/>
  <c r="G134" i="20"/>
  <c r="F134" i="20"/>
  <c r="E134" i="20"/>
  <c r="D134" i="20"/>
  <c r="C134" i="20"/>
  <c r="I133" i="20"/>
  <c r="D133" i="20"/>
  <c r="C133" i="20"/>
  <c r="I132" i="20"/>
  <c r="D132" i="20"/>
  <c r="C132" i="20"/>
  <c r="I131" i="20"/>
  <c r="D131" i="20"/>
  <c r="C131" i="20"/>
  <c r="I130" i="20"/>
  <c r="D130" i="20"/>
  <c r="C130" i="20"/>
  <c r="M130" i="20" s="1"/>
  <c r="I129" i="20"/>
  <c r="D129" i="20"/>
  <c r="C129" i="20"/>
  <c r="I128" i="20"/>
  <c r="D128" i="20"/>
  <c r="C128" i="20"/>
  <c r="I127" i="20"/>
  <c r="D127" i="20"/>
  <c r="C127" i="20"/>
  <c r="I126" i="20"/>
  <c r="D126" i="20"/>
  <c r="C126" i="20"/>
  <c r="I125" i="20"/>
  <c r="D125" i="20"/>
  <c r="C125" i="20"/>
  <c r="I124" i="20"/>
  <c r="D124" i="20"/>
  <c r="C124" i="20"/>
  <c r="I123" i="20"/>
  <c r="D123" i="20"/>
  <c r="C123" i="20"/>
  <c r="I122" i="20"/>
  <c r="L121" i="20"/>
  <c r="K121" i="20"/>
  <c r="J121" i="20"/>
  <c r="H121" i="20"/>
  <c r="G121" i="20"/>
  <c r="F121" i="20"/>
  <c r="E121" i="20"/>
  <c r="D121" i="20"/>
  <c r="C121" i="20"/>
  <c r="I120" i="20"/>
  <c r="D120" i="20"/>
  <c r="C120" i="20"/>
  <c r="M120" i="20" s="1"/>
  <c r="I119" i="20"/>
  <c r="D119" i="20"/>
  <c r="C119" i="20"/>
  <c r="I118" i="20"/>
  <c r="D118" i="20"/>
  <c r="C118" i="20"/>
  <c r="I117" i="20"/>
  <c r="D117" i="20"/>
  <c r="C117" i="20"/>
  <c r="M117" i="20" s="1"/>
  <c r="I116" i="20"/>
  <c r="D116" i="20"/>
  <c r="C116" i="20"/>
  <c r="I115" i="20"/>
  <c r="D115" i="20"/>
  <c r="C115" i="20"/>
  <c r="I114" i="20"/>
  <c r="D114" i="20"/>
  <c r="C114" i="20"/>
  <c r="I113" i="20"/>
  <c r="D113" i="20"/>
  <c r="C113" i="20"/>
  <c r="I112" i="20"/>
  <c r="D112" i="20"/>
  <c r="C112" i="20"/>
  <c r="M112" i="20" s="1"/>
  <c r="I111" i="20"/>
  <c r="D111" i="20"/>
  <c r="C111" i="20"/>
  <c r="I110" i="20"/>
  <c r="D110" i="20"/>
  <c r="C110" i="20"/>
  <c r="I109" i="20"/>
  <c r="L108" i="20"/>
  <c r="K108" i="20"/>
  <c r="J108" i="20"/>
  <c r="H108" i="20"/>
  <c r="G108" i="20"/>
  <c r="F108" i="20"/>
  <c r="E108" i="20"/>
  <c r="D108" i="20"/>
  <c r="C108" i="20"/>
  <c r="M114" i="20" l="1"/>
  <c r="M126" i="20"/>
  <c r="M138" i="20"/>
  <c r="M146" i="20"/>
  <c r="M139" i="20"/>
  <c r="M159" i="20"/>
  <c r="M125" i="20"/>
  <c r="M133" i="20"/>
  <c r="M152" i="20"/>
  <c r="M164" i="20"/>
  <c r="M143" i="20"/>
  <c r="M190" i="20"/>
  <c r="M191" i="20"/>
  <c r="I186" i="20"/>
  <c r="M193" i="20"/>
  <c r="M188" i="20"/>
  <c r="M196" i="20"/>
  <c r="M175" i="20"/>
  <c r="M187" i="20"/>
  <c r="M194" i="20"/>
  <c r="M189" i="20"/>
  <c r="M197" i="20"/>
  <c r="M192" i="20"/>
  <c r="M195" i="20"/>
  <c r="M183" i="20"/>
  <c r="M181" i="20"/>
  <c r="M179" i="20"/>
  <c r="M178" i="20"/>
  <c r="M176" i="20"/>
  <c r="M182" i="20"/>
  <c r="M177" i="20"/>
  <c r="M184" i="20"/>
  <c r="I173" i="20"/>
  <c r="M185" i="20"/>
  <c r="M180" i="20"/>
  <c r="M174" i="20"/>
  <c r="M166" i="20"/>
  <c r="M153" i="20"/>
  <c r="M155" i="20"/>
  <c r="M165" i="20"/>
  <c r="M168" i="20"/>
  <c r="M171" i="20"/>
  <c r="M169" i="20"/>
  <c r="M172" i="20"/>
  <c r="M163" i="20"/>
  <c r="I160" i="20"/>
  <c r="M162" i="20"/>
  <c r="M167" i="20"/>
  <c r="M170" i="20"/>
  <c r="M161" i="20"/>
  <c r="M158" i="20"/>
  <c r="M151" i="20"/>
  <c r="M150" i="20"/>
  <c r="M140" i="20"/>
  <c r="M142" i="20"/>
  <c r="M137" i="20"/>
  <c r="M145" i="20"/>
  <c r="I147" i="20"/>
  <c r="M154" i="20"/>
  <c r="M149" i="20"/>
  <c r="M157" i="20"/>
  <c r="M148" i="20"/>
  <c r="M141" i="20"/>
  <c r="M136" i="20"/>
  <c r="M144" i="20"/>
  <c r="M129" i="20"/>
  <c r="I134" i="20"/>
  <c r="M124" i="20"/>
  <c r="M132" i="20"/>
  <c r="M127" i="20"/>
  <c r="I121" i="20"/>
  <c r="M128" i="20"/>
  <c r="M123" i="20"/>
  <c r="M131" i="20"/>
  <c r="M116" i="20"/>
  <c r="M122" i="20"/>
  <c r="M115" i="20"/>
  <c r="M111" i="20"/>
  <c r="M119" i="20"/>
  <c r="I108" i="20"/>
  <c r="M110" i="20"/>
  <c r="M118" i="20"/>
  <c r="M113" i="20"/>
  <c r="M109" i="20"/>
  <c r="I107" i="20"/>
  <c r="D107" i="20"/>
  <c r="C107" i="20"/>
  <c r="M107" i="20" s="1"/>
  <c r="I106" i="20"/>
  <c r="D106" i="20"/>
  <c r="C106" i="20"/>
  <c r="I105" i="20"/>
  <c r="D105" i="20"/>
  <c r="C105" i="20"/>
  <c r="I104" i="20"/>
  <c r="D104" i="20"/>
  <c r="C104" i="20"/>
  <c r="I103" i="20"/>
  <c r="D103" i="20"/>
  <c r="C103" i="20"/>
  <c r="M103" i="20" s="1"/>
  <c r="I102" i="20"/>
  <c r="D102" i="20"/>
  <c r="C102" i="20"/>
  <c r="I101" i="20"/>
  <c r="D101" i="20"/>
  <c r="C101" i="20"/>
  <c r="I100" i="20"/>
  <c r="D100" i="20"/>
  <c r="C100" i="20"/>
  <c r="I99" i="20"/>
  <c r="D99" i="20"/>
  <c r="C99" i="20"/>
  <c r="M99" i="20" s="1"/>
  <c r="I98" i="20"/>
  <c r="D98" i="20"/>
  <c r="C98" i="20"/>
  <c r="I97" i="20"/>
  <c r="D97" i="20"/>
  <c r="C97" i="20"/>
  <c r="I96" i="20"/>
  <c r="L95" i="20"/>
  <c r="K95" i="20"/>
  <c r="J95" i="20"/>
  <c r="H95" i="20"/>
  <c r="G95" i="20"/>
  <c r="F95" i="20"/>
  <c r="E95" i="20"/>
  <c r="D95" i="20"/>
  <c r="C95" i="20"/>
  <c r="D82" i="20"/>
  <c r="C82" i="20"/>
  <c r="D69" i="20"/>
  <c r="C69" i="20"/>
  <c r="L82" i="20"/>
  <c r="K82" i="20"/>
  <c r="L69" i="20"/>
  <c r="K69" i="20"/>
  <c r="L56" i="20"/>
  <c r="K56" i="20"/>
  <c r="D56" i="20"/>
  <c r="C56" i="20"/>
  <c r="L43" i="20"/>
  <c r="K43" i="20"/>
  <c r="D43" i="20"/>
  <c r="C43" i="20"/>
  <c r="L30" i="20"/>
  <c r="K30" i="20"/>
  <c r="D30" i="20"/>
  <c r="C30" i="20"/>
  <c r="L17" i="20"/>
  <c r="K17" i="20"/>
  <c r="D17" i="20"/>
  <c r="C17" i="20"/>
  <c r="L4" i="20"/>
  <c r="K4" i="20"/>
  <c r="D4" i="20"/>
  <c r="C4" i="20"/>
  <c r="I94" i="20"/>
  <c r="D94" i="20"/>
  <c r="C94" i="20"/>
  <c r="I93" i="20"/>
  <c r="D93" i="20"/>
  <c r="C93" i="20"/>
  <c r="I92" i="20"/>
  <c r="D92" i="20"/>
  <c r="C92" i="20"/>
  <c r="I91" i="20"/>
  <c r="D91" i="20"/>
  <c r="C91" i="20"/>
  <c r="I90" i="20"/>
  <c r="D90" i="20"/>
  <c r="C90" i="20"/>
  <c r="I89" i="20"/>
  <c r="D89" i="20"/>
  <c r="C89" i="20"/>
  <c r="I88" i="20"/>
  <c r="D88" i="20"/>
  <c r="C88" i="20"/>
  <c r="I87" i="20"/>
  <c r="D87" i="20"/>
  <c r="C87" i="20"/>
  <c r="M87" i="20" s="1"/>
  <c r="I86" i="20"/>
  <c r="D86" i="20"/>
  <c r="C86" i="20"/>
  <c r="I85" i="20"/>
  <c r="D85" i="20"/>
  <c r="C85" i="20"/>
  <c r="I84" i="20"/>
  <c r="D84" i="20"/>
  <c r="C84" i="20"/>
  <c r="I83" i="20"/>
  <c r="M83" i="20" s="1"/>
  <c r="J82" i="20"/>
  <c r="H82" i="20"/>
  <c r="G82" i="20"/>
  <c r="F82" i="20"/>
  <c r="E82" i="20"/>
  <c r="I81" i="20"/>
  <c r="D81" i="20"/>
  <c r="C81" i="20"/>
  <c r="I80" i="20"/>
  <c r="D80" i="20"/>
  <c r="C80" i="20"/>
  <c r="I79" i="20"/>
  <c r="D79" i="20"/>
  <c r="C79" i="20"/>
  <c r="I78" i="20"/>
  <c r="D78" i="20"/>
  <c r="C78" i="20"/>
  <c r="I77" i="20"/>
  <c r="D77" i="20"/>
  <c r="C77" i="20"/>
  <c r="I76" i="20"/>
  <c r="D76" i="20"/>
  <c r="C76" i="20"/>
  <c r="I75" i="20"/>
  <c r="D75" i="20"/>
  <c r="C75" i="20"/>
  <c r="I74" i="20"/>
  <c r="D74" i="20"/>
  <c r="C74" i="20"/>
  <c r="I73" i="20"/>
  <c r="D73" i="20"/>
  <c r="C73" i="20"/>
  <c r="I72" i="20"/>
  <c r="D72" i="20"/>
  <c r="C72" i="20"/>
  <c r="I71" i="20"/>
  <c r="D71" i="20"/>
  <c r="C71" i="20"/>
  <c r="I70" i="20"/>
  <c r="M70" i="20" s="1"/>
  <c r="J69" i="20"/>
  <c r="H69" i="20"/>
  <c r="G69" i="20"/>
  <c r="F69" i="20"/>
  <c r="E69" i="20"/>
  <c r="M106" i="20" l="1"/>
  <c r="M101" i="20"/>
  <c r="M100" i="20"/>
  <c r="M98" i="20"/>
  <c r="M104" i="20"/>
  <c r="I95" i="20"/>
  <c r="M102" i="20"/>
  <c r="M97" i="20"/>
  <c r="M105" i="20"/>
  <c r="M96" i="20"/>
  <c r="M94" i="20"/>
  <c r="M88" i="20"/>
  <c r="M86" i="20"/>
  <c r="M78" i="20"/>
  <c r="M72" i="20"/>
  <c r="M80" i="20"/>
  <c r="M85" i="20"/>
  <c r="M75" i="20"/>
  <c r="M93" i="20"/>
  <c r="M91" i="20"/>
  <c r="I82" i="20"/>
  <c r="M90" i="20"/>
  <c r="M89" i="20"/>
  <c r="M84" i="20"/>
  <c r="M92" i="20"/>
  <c r="M77" i="20"/>
  <c r="I69" i="20"/>
  <c r="M74" i="20"/>
  <c r="M71" i="20"/>
  <c r="M79" i="20"/>
  <c r="M73" i="20"/>
  <c r="M81" i="20"/>
  <c r="M76" i="20"/>
  <c r="I68" i="20"/>
  <c r="D68" i="20"/>
  <c r="C68" i="20"/>
  <c r="I67" i="20"/>
  <c r="D67" i="20"/>
  <c r="C67" i="20"/>
  <c r="I66" i="20"/>
  <c r="D66" i="20"/>
  <c r="C66" i="20"/>
  <c r="I65" i="20"/>
  <c r="D65" i="20"/>
  <c r="C65" i="20"/>
  <c r="I64" i="20"/>
  <c r="D64" i="20"/>
  <c r="C64" i="20"/>
  <c r="I63" i="20"/>
  <c r="D63" i="20"/>
  <c r="C63" i="20"/>
  <c r="I62" i="20"/>
  <c r="D62" i="20"/>
  <c r="C62" i="20"/>
  <c r="I61" i="20"/>
  <c r="D61" i="20"/>
  <c r="C61" i="20"/>
  <c r="I60" i="20"/>
  <c r="D60" i="20"/>
  <c r="C60" i="20"/>
  <c r="I59" i="20"/>
  <c r="D59" i="20"/>
  <c r="C59" i="20"/>
  <c r="I58" i="20"/>
  <c r="D58" i="20"/>
  <c r="C58" i="20"/>
  <c r="I57" i="20"/>
  <c r="M57" i="20" s="1"/>
  <c r="J56" i="20"/>
  <c r="H56" i="20"/>
  <c r="G56" i="20"/>
  <c r="F56" i="20"/>
  <c r="E56" i="20"/>
  <c r="I55" i="20"/>
  <c r="D55" i="20"/>
  <c r="C55" i="20"/>
  <c r="I54" i="20"/>
  <c r="D54" i="20"/>
  <c r="C54" i="20"/>
  <c r="I53" i="20"/>
  <c r="D53" i="20"/>
  <c r="C53" i="20"/>
  <c r="I52" i="20"/>
  <c r="D52" i="20"/>
  <c r="C52" i="20"/>
  <c r="I51" i="20"/>
  <c r="D51" i="20"/>
  <c r="C51" i="20"/>
  <c r="I50" i="20"/>
  <c r="D50" i="20"/>
  <c r="C50" i="20"/>
  <c r="I49" i="20"/>
  <c r="D49" i="20"/>
  <c r="C49" i="20"/>
  <c r="I48" i="20"/>
  <c r="D48" i="20"/>
  <c r="C48" i="20"/>
  <c r="I47" i="20"/>
  <c r="D47" i="20"/>
  <c r="C47" i="20"/>
  <c r="I46" i="20"/>
  <c r="D46" i="20"/>
  <c r="C46" i="20"/>
  <c r="I45" i="20"/>
  <c r="D45" i="20"/>
  <c r="C45" i="20"/>
  <c r="I44" i="20"/>
  <c r="M44" i="20" s="1"/>
  <c r="J43" i="20"/>
  <c r="H43" i="20"/>
  <c r="G43" i="20"/>
  <c r="F43" i="20"/>
  <c r="E43" i="20"/>
  <c r="I42" i="20"/>
  <c r="D42" i="20"/>
  <c r="C42" i="20"/>
  <c r="I41" i="20"/>
  <c r="D41" i="20"/>
  <c r="C41" i="20"/>
  <c r="I40" i="20"/>
  <c r="D40" i="20"/>
  <c r="C40" i="20"/>
  <c r="I39" i="20"/>
  <c r="D39" i="20"/>
  <c r="C39" i="20"/>
  <c r="I38" i="20"/>
  <c r="D38" i="20"/>
  <c r="C38" i="20"/>
  <c r="I37" i="20"/>
  <c r="D37" i="20"/>
  <c r="C37" i="20"/>
  <c r="I36" i="20"/>
  <c r="D36" i="20"/>
  <c r="C36" i="20"/>
  <c r="I35" i="20"/>
  <c r="D35" i="20"/>
  <c r="C35" i="20"/>
  <c r="I34" i="20"/>
  <c r="D34" i="20"/>
  <c r="C34" i="20"/>
  <c r="I33" i="20"/>
  <c r="D33" i="20"/>
  <c r="C33" i="20"/>
  <c r="I32" i="20"/>
  <c r="D32" i="20"/>
  <c r="C32" i="20"/>
  <c r="I31" i="20"/>
  <c r="M31" i="20" s="1"/>
  <c r="J30" i="20"/>
  <c r="H30" i="20"/>
  <c r="G30" i="20"/>
  <c r="F30" i="20"/>
  <c r="E30" i="20"/>
  <c r="M51" i="20" l="1"/>
  <c r="M59" i="20"/>
  <c r="M52" i="20"/>
  <c r="M60" i="20"/>
  <c r="M64" i="20"/>
  <c r="M47" i="20"/>
  <c r="M55" i="20"/>
  <c r="M61" i="20"/>
  <c r="M62" i="20"/>
  <c r="M46" i="20"/>
  <c r="M54" i="20"/>
  <c r="M41" i="20"/>
  <c r="M49" i="20"/>
  <c r="M65" i="20"/>
  <c r="M68" i="20"/>
  <c r="M67" i="20"/>
  <c r="I56" i="20"/>
  <c r="M63" i="20"/>
  <c r="M58" i="20"/>
  <c r="M66" i="20"/>
  <c r="I43" i="20"/>
  <c r="M48" i="20"/>
  <c r="M50" i="20"/>
  <c r="M45" i="20"/>
  <c r="M53" i="20"/>
  <c r="M42" i="20"/>
  <c r="M39" i="20"/>
  <c r="M34" i="20"/>
  <c r="M37" i="20"/>
  <c r="M35" i="20"/>
  <c r="M32" i="20"/>
  <c r="M40" i="20"/>
  <c r="M38" i="20"/>
  <c r="M33" i="20"/>
  <c r="M36" i="20"/>
  <c r="I30" i="20"/>
  <c r="I29" i="20"/>
  <c r="D29" i="20"/>
  <c r="C29" i="20"/>
  <c r="I28" i="20"/>
  <c r="D28" i="20"/>
  <c r="C28" i="20"/>
  <c r="I27" i="20"/>
  <c r="D27" i="20"/>
  <c r="C27" i="20"/>
  <c r="I26" i="20"/>
  <c r="D26" i="20"/>
  <c r="C26" i="20"/>
  <c r="I25" i="20"/>
  <c r="D25" i="20"/>
  <c r="C25" i="20"/>
  <c r="I24" i="20"/>
  <c r="D24" i="20"/>
  <c r="C24" i="20"/>
  <c r="I23" i="20"/>
  <c r="D23" i="20"/>
  <c r="C23" i="20"/>
  <c r="I22" i="20"/>
  <c r="D22" i="20"/>
  <c r="C22" i="20"/>
  <c r="I21" i="20"/>
  <c r="D21" i="20"/>
  <c r="C21" i="20"/>
  <c r="I20" i="20"/>
  <c r="D20" i="20"/>
  <c r="C20" i="20"/>
  <c r="I19" i="20"/>
  <c r="D19" i="20"/>
  <c r="C19" i="20"/>
  <c r="I18" i="20"/>
  <c r="M18" i="20" s="1"/>
  <c r="J17" i="20"/>
  <c r="H17" i="20"/>
  <c r="G17" i="20"/>
  <c r="F17" i="20"/>
  <c r="E17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M13" i="20" s="1"/>
  <c r="D13" i="20"/>
  <c r="C14" i="20"/>
  <c r="D14" i="20"/>
  <c r="C15" i="20"/>
  <c r="D15" i="20"/>
  <c r="C16" i="20"/>
  <c r="D16" i="20"/>
  <c r="D6" i="20"/>
  <c r="C6" i="20"/>
  <c r="I6" i="20"/>
  <c r="I7" i="20"/>
  <c r="I8" i="20"/>
  <c r="I9" i="20"/>
  <c r="I10" i="20"/>
  <c r="I11" i="20"/>
  <c r="I12" i="20"/>
  <c r="I13" i="20"/>
  <c r="I14" i="20"/>
  <c r="I15" i="20"/>
  <c r="I16" i="20"/>
  <c r="I5" i="20"/>
  <c r="M5" i="20" s="1"/>
  <c r="F4" i="20"/>
  <c r="G4" i="20"/>
  <c r="H4" i="20"/>
  <c r="J4" i="20"/>
  <c r="E4" i="20"/>
  <c r="M9" i="20" l="1"/>
  <c r="M6" i="20"/>
  <c r="M10" i="20"/>
  <c r="M28" i="20"/>
  <c r="M12" i="20"/>
  <c r="M8" i="20"/>
  <c r="M7" i="20"/>
  <c r="M21" i="20"/>
  <c r="M29" i="20"/>
  <c r="M11" i="20"/>
  <c r="M23" i="20"/>
  <c r="M26" i="20"/>
  <c r="M25" i="20"/>
  <c r="M20" i="20"/>
  <c r="I17" i="20"/>
  <c r="M22" i="20"/>
  <c r="M24" i="20"/>
  <c r="M19" i="20"/>
  <c r="M27" i="20"/>
  <c r="M16" i="20"/>
  <c r="M15" i="20"/>
  <c r="M14" i="20"/>
  <c r="I4" i="20"/>
  <c r="AE94" i="19"/>
  <c r="AE34" i="19"/>
  <c r="AE64" i="19" l="1"/>
  <c r="T221" i="11" l="1"/>
  <c r="S221" i="11"/>
  <c r="R221" i="11"/>
  <c r="Q221" i="11"/>
  <c r="P221" i="11"/>
  <c r="O221" i="11"/>
  <c r="N221" i="11"/>
  <c r="M221" i="11"/>
  <c r="L221" i="11"/>
  <c r="K221" i="11"/>
  <c r="I221" i="11"/>
  <c r="H221" i="11"/>
  <c r="G221" i="11"/>
  <c r="F221" i="11"/>
  <c r="E221" i="11"/>
  <c r="T219" i="11"/>
  <c r="S219" i="11"/>
  <c r="R219" i="11"/>
  <c r="Q219" i="11"/>
  <c r="P219" i="11"/>
  <c r="O219" i="11"/>
  <c r="N219" i="11"/>
  <c r="M219" i="11"/>
  <c r="L219" i="11"/>
  <c r="K219" i="11"/>
  <c r="I219" i="11"/>
  <c r="H219" i="11"/>
  <c r="G219" i="11"/>
  <c r="F219" i="11"/>
  <c r="E219" i="11"/>
  <c r="T210" i="11"/>
  <c r="S210" i="11"/>
  <c r="R210" i="11"/>
  <c r="Q210" i="11"/>
  <c r="M210" i="11"/>
  <c r="L210" i="11"/>
  <c r="K210" i="11"/>
  <c r="I210" i="11"/>
  <c r="H210" i="11"/>
  <c r="G210" i="11"/>
  <c r="F210" i="11"/>
  <c r="E210" i="11"/>
  <c r="T208" i="11"/>
  <c r="S208" i="11"/>
  <c r="R208" i="11"/>
  <c r="Q208" i="11"/>
  <c r="P208" i="11"/>
  <c r="O208" i="11"/>
  <c r="N208" i="11"/>
  <c r="M208" i="11"/>
  <c r="L208" i="11"/>
  <c r="K208" i="11"/>
  <c r="I208" i="11"/>
  <c r="H208" i="11"/>
  <c r="G208" i="11"/>
  <c r="F208" i="11"/>
  <c r="E208" i="11"/>
  <c r="T199" i="11"/>
  <c r="S199" i="11"/>
  <c r="R199" i="11"/>
  <c r="Q199" i="11"/>
  <c r="M199" i="11"/>
  <c r="L199" i="11"/>
  <c r="K199" i="11"/>
  <c r="I199" i="11"/>
  <c r="H199" i="11"/>
  <c r="F199" i="11"/>
  <c r="E199" i="11"/>
  <c r="T197" i="11"/>
  <c r="S197" i="11"/>
  <c r="R197" i="11"/>
  <c r="Q197" i="11"/>
  <c r="P197" i="11"/>
  <c r="M197" i="11"/>
  <c r="L197" i="11"/>
  <c r="K197" i="11"/>
  <c r="I197" i="11"/>
  <c r="H197" i="11"/>
  <c r="G197" i="11"/>
  <c r="F197" i="11"/>
  <c r="E197" i="11"/>
  <c r="T188" i="11"/>
  <c r="S188" i="11"/>
  <c r="R188" i="11"/>
  <c r="Q188" i="11"/>
  <c r="M188" i="11"/>
  <c r="L188" i="11"/>
  <c r="K188" i="11"/>
  <c r="G188" i="11"/>
  <c r="F188" i="11"/>
  <c r="E188" i="11"/>
  <c r="T186" i="11"/>
  <c r="S186" i="11"/>
  <c r="R186" i="11"/>
  <c r="Q186" i="11"/>
  <c r="P186" i="11"/>
  <c r="M186" i="11"/>
  <c r="L186" i="11"/>
  <c r="K186" i="11"/>
  <c r="I186" i="11"/>
  <c r="H186" i="11"/>
  <c r="G186" i="11"/>
  <c r="F186" i="11"/>
  <c r="E186" i="11"/>
  <c r="T177" i="11"/>
  <c r="Q177" i="11"/>
  <c r="M177" i="11"/>
  <c r="L177" i="11"/>
  <c r="K177" i="11"/>
  <c r="F177" i="11"/>
  <c r="E177" i="11"/>
  <c r="T175" i="11"/>
  <c r="S175" i="11"/>
  <c r="R175" i="11"/>
  <c r="Q175" i="11"/>
  <c r="M175" i="11"/>
  <c r="L175" i="11"/>
  <c r="K175" i="11"/>
  <c r="F175" i="11"/>
  <c r="E175" i="11"/>
  <c r="T166" i="11"/>
  <c r="M166" i="11"/>
  <c r="L166" i="11"/>
  <c r="K166" i="11"/>
  <c r="I166" i="11"/>
  <c r="H166" i="11"/>
  <c r="F166" i="11"/>
  <c r="E166" i="11"/>
  <c r="T164" i="11"/>
  <c r="S164" i="11"/>
  <c r="R164" i="11"/>
  <c r="Q164" i="11"/>
  <c r="M164" i="11"/>
  <c r="L164" i="11"/>
  <c r="K164" i="11"/>
  <c r="I164" i="11"/>
  <c r="H164" i="11"/>
  <c r="G164" i="11"/>
  <c r="F164" i="11"/>
  <c r="E164" i="11"/>
  <c r="T25" i="11"/>
  <c r="S25" i="11"/>
  <c r="M25" i="11"/>
  <c r="L25" i="11"/>
  <c r="K25" i="11"/>
  <c r="I25" i="11"/>
  <c r="H25" i="11"/>
  <c r="G25" i="11"/>
  <c r="F25" i="11"/>
  <c r="E25" i="11"/>
  <c r="T12" i="11"/>
  <c r="S12" i="11"/>
  <c r="R12" i="11"/>
  <c r="Q12" i="11"/>
  <c r="N12" i="11"/>
  <c r="M12" i="11"/>
  <c r="L12" i="11"/>
  <c r="K12" i="11"/>
  <c r="I12" i="11"/>
  <c r="H12" i="11"/>
  <c r="G12" i="11"/>
  <c r="F12" i="11"/>
  <c r="E12" i="11"/>
  <c r="S220" i="11" l="1"/>
  <c r="Q220" i="11"/>
  <c r="E98" i="11" l="1"/>
  <c r="I34" i="11"/>
  <c r="T34" i="11"/>
  <c r="S34" i="11"/>
  <c r="R34" i="11"/>
  <c r="P34" i="11"/>
  <c r="L34" i="11"/>
  <c r="T46" i="11"/>
  <c r="S46" i="11"/>
  <c r="R46" i="11"/>
  <c r="P46" i="11"/>
  <c r="O46" i="11"/>
  <c r="N46" i="11"/>
  <c r="M46" i="11"/>
  <c r="F40" i="11" l="1"/>
  <c r="E40" i="11"/>
  <c r="J220" i="11" l="1"/>
  <c r="J209" i="11"/>
  <c r="J198" i="11"/>
  <c r="J187" i="11"/>
  <c r="J176" i="11"/>
  <c r="J165" i="11"/>
  <c r="J158" i="11"/>
  <c r="J155" i="11"/>
  <c r="J104" i="11"/>
  <c r="J98" i="11"/>
  <c r="J92" i="11"/>
  <c r="J86" i="11"/>
  <c r="J68" i="11"/>
  <c r="J62" i="11"/>
  <c r="J50" i="11"/>
  <c r="J44" i="11"/>
  <c r="J38" i="11"/>
  <c r="J32" i="11"/>
  <c r="J17" i="11"/>
  <c r="J16" i="11" s="1"/>
  <c r="J22" i="11" s="1"/>
  <c r="I220" i="11"/>
  <c r="I209" i="11"/>
  <c r="I198" i="11"/>
  <c r="I187" i="11"/>
  <c r="I176" i="11"/>
  <c r="I165" i="11"/>
  <c r="I158" i="11"/>
  <c r="I155" i="11"/>
  <c r="I104" i="11"/>
  <c r="I98" i="11"/>
  <c r="I92" i="11"/>
  <c r="I86" i="11"/>
  <c r="I68" i="11"/>
  <c r="I62" i="11"/>
  <c r="I50" i="11"/>
  <c r="I44" i="11"/>
  <c r="I38" i="11"/>
  <c r="I32" i="11"/>
  <c r="I17" i="11"/>
  <c r="I16" i="11" s="1"/>
  <c r="I22" i="11" s="1"/>
  <c r="H220" i="11"/>
  <c r="H209" i="11"/>
  <c r="H198" i="11"/>
  <c r="H187" i="11"/>
  <c r="H176" i="11"/>
  <c r="H165" i="11"/>
  <c r="H158" i="11"/>
  <c r="H155" i="11"/>
  <c r="H104" i="11"/>
  <c r="H98" i="11"/>
  <c r="H92" i="11"/>
  <c r="H86" i="11"/>
  <c r="H68" i="11"/>
  <c r="H62" i="11"/>
  <c r="H50" i="11"/>
  <c r="H44" i="11"/>
  <c r="H38" i="11"/>
  <c r="H32" i="11"/>
  <c r="H17" i="11"/>
  <c r="H16" i="11" s="1"/>
  <c r="H22" i="11" s="1"/>
  <c r="G220" i="11"/>
  <c r="G209" i="11"/>
  <c r="G198" i="11"/>
  <c r="G187" i="11"/>
  <c r="G176" i="11"/>
  <c r="G165" i="11"/>
  <c r="G158" i="11"/>
  <c r="G155" i="11"/>
  <c r="G104" i="11"/>
  <c r="G98" i="11"/>
  <c r="G92" i="11"/>
  <c r="G86" i="11"/>
  <c r="G68" i="11"/>
  <c r="G62" i="11"/>
  <c r="G50" i="11"/>
  <c r="G44" i="11"/>
  <c r="G38" i="11"/>
  <c r="G32" i="11"/>
  <c r="G17" i="11"/>
  <c r="G16" i="11" s="1"/>
  <c r="G22" i="11" s="1"/>
  <c r="I124" i="11" l="1"/>
  <c r="J124" i="11"/>
  <c r="H124" i="11"/>
  <c r="G124" i="11"/>
  <c r="E32" i="11"/>
  <c r="E38" i="11"/>
  <c r="F220" i="11" l="1"/>
  <c r="F209" i="11"/>
  <c r="D389" i="16"/>
  <c r="D361" i="16"/>
  <c r="D391" i="16" l="1"/>
  <c r="E391" i="16" s="1"/>
  <c r="E17" i="11"/>
  <c r="E16" i="11" s="1"/>
  <c r="E22" i="11" s="1"/>
  <c r="F17" i="11"/>
  <c r="F16" i="11" s="1"/>
  <c r="F22" i="11" s="1"/>
  <c r="K17" i="11"/>
  <c r="K16" i="11" s="1"/>
  <c r="K22" i="11" s="1"/>
  <c r="L17" i="11"/>
  <c r="L16" i="11" s="1"/>
  <c r="L22" i="11" s="1"/>
  <c r="M17" i="11"/>
  <c r="M16" i="11" s="1"/>
  <c r="M22" i="11" s="1"/>
  <c r="N17" i="11"/>
  <c r="N16" i="11" s="1"/>
  <c r="N22" i="11" s="1"/>
  <c r="O17" i="11"/>
  <c r="O16" i="11" s="1"/>
  <c r="O22" i="11" s="1"/>
  <c r="P17" i="11"/>
  <c r="P16" i="11" s="1"/>
  <c r="P22" i="11" s="1"/>
  <c r="Q17" i="11"/>
  <c r="Q16" i="11" s="1"/>
  <c r="Q22" i="11" s="1"/>
  <c r="R17" i="11"/>
  <c r="R16" i="11" s="1"/>
  <c r="R22" i="11" s="1"/>
  <c r="S17" i="11"/>
  <c r="S16" i="11" s="1"/>
  <c r="S22" i="11" s="1"/>
  <c r="T17" i="11"/>
  <c r="T16" i="11" s="1"/>
  <c r="T22" i="11" s="1"/>
  <c r="F104" i="11" l="1"/>
  <c r="K104" i="11"/>
  <c r="L104" i="11"/>
  <c r="M104" i="11"/>
  <c r="N104" i="11"/>
  <c r="O104" i="11"/>
  <c r="P104" i="11"/>
  <c r="Q104" i="11"/>
  <c r="R104" i="11"/>
  <c r="S104" i="11"/>
  <c r="T104" i="11"/>
  <c r="E104" i="11"/>
  <c r="F98" i="11"/>
  <c r="K98" i="11"/>
  <c r="L98" i="11"/>
  <c r="M98" i="11"/>
  <c r="N98" i="11"/>
  <c r="O98" i="11"/>
  <c r="P98" i="11"/>
  <c r="Q98" i="11"/>
  <c r="R98" i="11"/>
  <c r="S98" i="11"/>
  <c r="T98" i="11"/>
  <c r="F92" i="11" l="1"/>
  <c r="K92" i="11"/>
  <c r="L92" i="11"/>
  <c r="M92" i="11"/>
  <c r="N92" i="11"/>
  <c r="O92" i="11"/>
  <c r="P92" i="11"/>
  <c r="Q92" i="11"/>
  <c r="R92" i="11"/>
  <c r="S92" i="11"/>
  <c r="T92" i="11"/>
  <c r="E92" i="11"/>
  <c r="F86" i="11"/>
  <c r="K86" i="11"/>
  <c r="L86" i="11"/>
  <c r="M86" i="11"/>
  <c r="N86" i="11"/>
  <c r="O86" i="11"/>
  <c r="P86" i="11"/>
  <c r="Q86" i="11"/>
  <c r="R86" i="11"/>
  <c r="S86" i="11"/>
  <c r="T86" i="11"/>
  <c r="E86" i="11"/>
  <c r="F68" i="11"/>
  <c r="K68" i="11"/>
  <c r="L68" i="11"/>
  <c r="M68" i="11"/>
  <c r="N68" i="11"/>
  <c r="O68" i="11"/>
  <c r="P68" i="11"/>
  <c r="Q68" i="11"/>
  <c r="R68" i="11"/>
  <c r="S68" i="11"/>
  <c r="T68" i="11"/>
  <c r="E68" i="11"/>
  <c r="F62" i="11"/>
  <c r="K62" i="11"/>
  <c r="L62" i="11"/>
  <c r="M62" i="11"/>
  <c r="N62" i="11"/>
  <c r="O62" i="11"/>
  <c r="P62" i="11"/>
  <c r="Q62" i="11"/>
  <c r="R62" i="11"/>
  <c r="S62" i="11"/>
  <c r="T62" i="11"/>
  <c r="E62" i="11"/>
  <c r="F50" i="11" l="1"/>
  <c r="K50" i="11"/>
  <c r="L50" i="11"/>
  <c r="M50" i="11"/>
  <c r="N50" i="11"/>
  <c r="O50" i="11"/>
  <c r="P50" i="11"/>
  <c r="Q50" i="11"/>
  <c r="R50" i="11"/>
  <c r="S50" i="11"/>
  <c r="T50" i="11"/>
  <c r="E50" i="11"/>
  <c r="F44" i="11"/>
  <c r="K44" i="11"/>
  <c r="L44" i="11"/>
  <c r="M44" i="11"/>
  <c r="N44" i="11"/>
  <c r="O44" i="11"/>
  <c r="P44" i="11"/>
  <c r="Q44" i="11"/>
  <c r="R44" i="11"/>
  <c r="S44" i="11"/>
  <c r="T44" i="11"/>
  <c r="E44" i="11"/>
  <c r="T38" i="11"/>
  <c r="S38" i="11"/>
  <c r="R38" i="11"/>
  <c r="Q38" i="11"/>
  <c r="O38" i="11"/>
  <c r="M38" i="11"/>
  <c r="L38" i="11"/>
  <c r="K38" i="11"/>
  <c r="F38" i="11"/>
  <c r="N38" i="11"/>
  <c r="P38" i="11"/>
  <c r="M32" i="11"/>
  <c r="N32" i="11"/>
  <c r="O32" i="11"/>
  <c r="Q32" i="11"/>
  <c r="T32" i="11"/>
  <c r="P32" i="11"/>
  <c r="K32" i="11"/>
  <c r="S32" i="11"/>
  <c r="R32" i="11"/>
  <c r="L32" i="11"/>
  <c r="F32" i="11" l="1"/>
  <c r="F124" i="11" s="1"/>
  <c r="K124" i="11"/>
  <c r="L124" i="11"/>
  <c r="M124" i="11"/>
  <c r="N124" i="11"/>
  <c r="O124" i="11"/>
  <c r="P124" i="11"/>
  <c r="Q124" i="11"/>
  <c r="R124" i="11"/>
  <c r="S124" i="11"/>
  <c r="T124" i="11"/>
  <c r="E124" i="11" l="1"/>
  <c r="T220" i="11" l="1"/>
  <c r="T209" i="11"/>
  <c r="T198" i="11"/>
  <c r="T187" i="11"/>
  <c r="T176" i="11"/>
  <c r="T165" i="11"/>
  <c r="T158" i="11"/>
  <c r="T155" i="11"/>
  <c r="S209" i="11"/>
  <c r="S198" i="11"/>
  <c r="S187" i="11"/>
  <c r="S176" i="11"/>
  <c r="S165" i="11"/>
  <c r="S158" i="11"/>
  <c r="S155" i="11"/>
  <c r="R220" i="11"/>
  <c r="R209" i="11"/>
  <c r="R198" i="11"/>
  <c r="R187" i="11"/>
  <c r="R176" i="11"/>
  <c r="R165" i="11"/>
  <c r="R158" i="11"/>
  <c r="R155" i="11"/>
  <c r="Q209" i="11"/>
  <c r="Q198" i="11"/>
  <c r="Q187" i="11"/>
  <c r="Q176" i="11"/>
  <c r="Q165" i="11"/>
  <c r="Q158" i="11"/>
  <c r="Q155" i="11"/>
  <c r="P220" i="11"/>
  <c r="P209" i="11"/>
  <c r="P198" i="11"/>
  <c r="P187" i="11"/>
  <c r="P176" i="11"/>
  <c r="P165" i="11"/>
  <c r="P158" i="11"/>
  <c r="P155" i="11"/>
  <c r="O220" i="11"/>
  <c r="O209" i="11"/>
  <c r="O198" i="11"/>
  <c r="O187" i="11"/>
  <c r="O176" i="11"/>
  <c r="O165" i="11"/>
  <c r="O158" i="11"/>
  <c r="O155" i="11"/>
  <c r="N220" i="11"/>
  <c r="N209" i="11"/>
  <c r="N198" i="11"/>
  <c r="N187" i="11"/>
  <c r="N176" i="11"/>
  <c r="N165" i="11"/>
  <c r="N158" i="11"/>
  <c r="N155" i="11"/>
  <c r="M220" i="11"/>
  <c r="M209" i="11"/>
  <c r="M198" i="11"/>
  <c r="M187" i="11"/>
  <c r="M176" i="11"/>
  <c r="M165" i="11"/>
  <c r="M158" i="11"/>
  <c r="M155" i="11"/>
  <c r="L220" i="11"/>
  <c r="L209" i="11"/>
  <c r="L198" i="11"/>
  <c r="L187" i="11"/>
  <c r="L176" i="11"/>
  <c r="L165" i="11"/>
  <c r="L158" i="11"/>
  <c r="L155" i="11"/>
  <c r="K220" i="11"/>
  <c r="E220" i="11"/>
  <c r="K209" i="11"/>
  <c r="E209" i="11"/>
  <c r="F198" i="11"/>
  <c r="K198" i="11"/>
  <c r="E198" i="11"/>
  <c r="F187" i="11"/>
  <c r="K187" i="11"/>
  <c r="E187" i="11"/>
  <c r="F176" i="11"/>
  <c r="K176" i="11"/>
  <c r="E176" i="11"/>
  <c r="K165" i="11"/>
  <c r="K158" i="11"/>
  <c r="K155" i="11"/>
  <c r="F165" i="11"/>
  <c r="F158" i="11"/>
  <c r="F155" i="11"/>
  <c r="E155" i="11"/>
  <c r="E165" i="11"/>
  <c r="E158" i="11"/>
  <c r="D36" i="12" l="1"/>
  <c r="D37" i="12"/>
  <c r="F39" i="12"/>
  <c r="F41" i="12"/>
  <c r="F40" i="12"/>
  <c r="E39" i="12"/>
  <c r="E41" i="12"/>
  <c r="E40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B31" i="12"/>
  <c r="C8" i="12" s="1"/>
  <c r="E7" i="12"/>
  <c r="D7" i="12"/>
  <c r="H28" i="12" l="1"/>
  <c r="E11" i="12"/>
  <c r="C11" i="12"/>
  <c r="G17" i="12"/>
  <c r="H12" i="12"/>
  <c r="E19" i="12"/>
  <c r="H8" i="12"/>
  <c r="C27" i="12"/>
  <c r="F14" i="12"/>
  <c r="F22" i="12"/>
  <c r="C19" i="12"/>
  <c r="G9" i="12"/>
  <c r="D16" i="12"/>
  <c r="G25" i="12"/>
  <c r="G8" i="12"/>
  <c r="E30" i="12"/>
  <c r="F29" i="12"/>
  <c r="G28" i="12"/>
  <c r="H27" i="12"/>
  <c r="D27" i="12"/>
  <c r="E26" i="12"/>
  <c r="F25" i="12"/>
  <c r="G24" i="12"/>
  <c r="H23" i="12"/>
  <c r="D23" i="12"/>
  <c r="E22" i="12"/>
  <c r="F21" i="12"/>
  <c r="G20" i="12"/>
  <c r="H19" i="12"/>
  <c r="D19" i="12"/>
  <c r="E18" i="12"/>
  <c r="F17" i="12"/>
  <c r="G16" i="12"/>
  <c r="H15" i="12"/>
  <c r="D15" i="12"/>
  <c r="E14" i="12"/>
  <c r="F13" i="12"/>
  <c r="G12" i="12"/>
  <c r="H11" i="12"/>
  <c r="D11" i="12"/>
  <c r="E10" i="12"/>
  <c r="F9" i="12"/>
  <c r="C13" i="12"/>
  <c r="C17" i="12"/>
  <c r="C21" i="12"/>
  <c r="C25" i="12"/>
  <c r="C29" i="12"/>
  <c r="F8" i="12"/>
  <c r="H30" i="12"/>
  <c r="D30" i="12"/>
  <c r="E29" i="12"/>
  <c r="F28" i="12"/>
  <c r="G27" i="12"/>
  <c r="H26" i="12"/>
  <c r="D26" i="12"/>
  <c r="E25" i="12"/>
  <c r="F24" i="12"/>
  <c r="G23" i="12"/>
  <c r="H22" i="12"/>
  <c r="D22" i="12"/>
  <c r="E21" i="12"/>
  <c r="F20" i="12"/>
  <c r="G19" i="12"/>
  <c r="H18" i="12"/>
  <c r="D18" i="12"/>
  <c r="E17" i="12"/>
  <c r="F16" i="12"/>
  <c r="G15" i="12"/>
  <c r="H14" i="12"/>
  <c r="D14" i="12"/>
  <c r="E13" i="12"/>
  <c r="F12" i="12"/>
  <c r="G11" i="12"/>
  <c r="H10" i="12"/>
  <c r="D10" i="12"/>
  <c r="E9" i="12"/>
  <c r="C10" i="12"/>
  <c r="C14" i="12"/>
  <c r="C18" i="12"/>
  <c r="C22" i="12"/>
  <c r="C26" i="12"/>
  <c r="C30" i="12"/>
  <c r="E8" i="12"/>
  <c r="G30" i="12"/>
  <c r="H29" i="12"/>
  <c r="D29" i="12"/>
  <c r="E28" i="12"/>
  <c r="F27" i="12"/>
  <c r="G26" i="12"/>
  <c r="H25" i="12"/>
  <c r="D25" i="12"/>
  <c r="E24" i="12"/>
  <c r="F23" i="12"/>
  <c r="G22" i="12"/>
  <c r="H21" i="12"/>
  <c r="D21" i="12"/>
  <c r="E20" i="12"/>
  <c r="F19" i="12"/>
  <c r="C24" i="12"/>
  <c r="C16" i="12"/>
  <c r="H9" i="12"/>
  <c r="F11" i="12"/>
  <c r="D13" i="12"/>
  <c r="G14" i="12"/>
  <c r="E16" i="12"/>
  <c r="H17" i="12"/>
  <c r="D20" i="12"/>
  <c r="E23" i="12"/>
  <c r="F26" i="12"/>
  <c r="G29" i="12"/>
  <c r="C9" i="12"/>
  <c r="C23" i="12"/>
  <c r="C15" i="12"/>
  <c r="F10" i="12"/>
  <c r="D12" i="12"/>
  <c r="G13" i="12"/>
  <c r="E15" i="12"/>
  <c r="H16" i="12"/>
  <c r="F18" i="12"/>
  <c r="H20" i="12"/>
  <c r="D24" i="12"/>
  <c r="E27" i="12"/>
  <c r="F30" i="12"/>
  <c r="C28" i="12"/>
  <c r="C20" i="12"/>
  <c r="C12" i="12"/>
  <c r="D9" i="12"/>
  <c r="G10" i="12"/>
  <c r="E12" i="12"/>
  <c r="H13" i="12"/>
  <c r="F15" i="12"/>
  <c r="D17" i="12"/>
  <c r="G18" i="12"/>
  <c r="G21" i="12"/>
  <c r="H24" i="12"/>
  <c r="D28" i="12"/>
  <c r="D8" i="12"/>
  <c r="D31" i="12" l="1"/>
  <c r="D32" i="12" s="1"/>
  <c r="C31" i="12"/>
  <c r="C32" i="12" s="1"/>
  <c r="F31" i="12"/>
  <c r="E31" i="12"/>
  <c r="E32" i="12" s="1"/>
  <c r="G31" i="12"/>
  <c r="G32" i="12" s="1"/>
  <c r="H31" i="12"/>
  <c r="H32" i="12" s="1"/>
  <c r="F32" i="12"/>
</calcChain>
</file>

<file path=xl/sharedStrings.xml><?xml version="1.0" encoding="utf-8"?>
<sst xmlns="http://schemas.openxmlformats.org/spreadsheetml/2006/main" count="12883" uniqueCount="2371">
  <si>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</si>
  <si>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</si>
  <si>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</si>
  <si>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</si>
  <si>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</si>
  <si>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</si>
  <si>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</si>
  <si>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</si>
  <si>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</si>
  <si>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</si>
  <si>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</si>
  <si>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</si>
  <si>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</si>
  <si>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</si>
  <si>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</si>
  <si>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</si>
  <si>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</si>
  <si>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</si>
  <si>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</si>
  <si>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</si>
  <si>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</si>
  <si>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</si>
  <si>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</si>
  <si>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</si>
  <si>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</si>
  <si>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</si>
  <si>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</si>
  <si>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</si>
  <si>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</si>
  <si>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</si>
  <si>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</si>
  <si>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</si>
  <si>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</si>
  <si>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</si>
  <si>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</si>
  <si>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</si>
  <si>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</si>
  <si>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</si>
  <si>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</si>
  <si>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</si>
  <si>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</si>
  <si>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</si>
  <si>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</si>
  <si>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</si>
  <si>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</si>
  <si>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</si>
  <si>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</si>
  <si>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</si>
  <si>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</si>
  <si>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</si>
  <si>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</si>
  <si>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</si>
  <si>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</si>
  <si>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</si>
  <si>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</si>
  <si>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</si>
  <si>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</si>
  <si>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</si>
  <si>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</si>
  <si>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</si>
  <si>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</si>
  <si>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</si>
  <si>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</si>
  <si>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</si>
  <si>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</si>
  <si>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</si>
  <si>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</si>
  <si>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</si>
  <si>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</si>
  <si>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</si>
  <si>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</si>
  <si>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</si>
  <si>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</si>
  <si>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</si>
  <si>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</si>
  <si>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</si>
  <si>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</si>
  <si>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</si>
  <si>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</si>
  <si>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</si>
  <si>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</si>
  <si>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</si>
  <si>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</si>
  <si>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</si>
  <si>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</si>
  <si>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</si>
  <si>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</si>
  <si>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</si>
  <si>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</si>
  <si>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</si>
  <si>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</si>
  <si>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</si>
  <si>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</si>
  <si>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</si>
  <si>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</si>
  <si>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</si>
  <si>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</si>
  <si>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</si>
  <si>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</si>
  <si>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</si>
  <si>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</si>
  <si>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</si>
  <si>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</si>
  <si>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</si>
  <si>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</si>
  <si>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</si>
  <si>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</si>
  <si>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</si>
  <si>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</si>
  <si>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</si>
  <si>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</si>
  <si>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</si>
  <si>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</si>
  <si>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</si>
  <si>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</si>
  <si>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</si>
  <si>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</si>
  <si>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</si>
  <si>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</si>
  <si>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</si>
  <si>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</si>
  <si>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</si>
  <si>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</si>
  <si>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</si>
  <si>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</si>
  <si>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</si>
  <si>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</si>
  <si>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</si>
  <si>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</si>
  <si>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</si>
  <si>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</si>
  <si>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</si>
  <si>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</si>
  <si>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</si>
  <si>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</si>
  <si>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</si>
  <si>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</si>
  <si>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</si>
  <si>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</si>
  <si>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</si>
  <si>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</si>
  <si>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</si>
  <si>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</si>
  <si>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</si>
  <si>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</si>
  <si>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</si>
  <si>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</si>
  <si>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</si>
  <si>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</si>
  <si>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</si>
  <si>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</si>
  <si>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</si>
  <si>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</si>
  <si>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</si>
  <si>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</si>
  <si>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</si>
  <si>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</si>
  <si>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</si>
  <si>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</si>
  <si>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</si>
  <si>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</si>
  <si>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</si>
  <si>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</si>
  <si>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</si>
  <si>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</si>
  <si>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</si>
  <si>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</si>
  <si>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</si>
  <si>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</si>
  <si>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</si>
  <si>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</si>
  <si>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</si>
  <si>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</si>
  <si>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</si>
  <si>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</si>
  <si>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</si>
  <si>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</si>
  <si>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</si>
  <si>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</si>
  <si>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</si>
  <si>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</si>
  <si>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</si>
  <si>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</si>
  <si>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</si>
  <si>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</si>
  <si>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</si>
  <si>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</si>
  <si>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</si>
  <si>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</si>
  <si>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</si>
  <si>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</si>
  <si>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</si>
  <si>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</si>
  <si>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</si>
  <si>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</si>
  <si>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</si>
  <si>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</si>
  <si>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</si>
  <si>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</si>
  <si>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</si>
  <si>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</si>
  <si>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</si>
  <si>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</si>
  <si>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</si>
  <si>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</si>
  <si>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</si>
  <si>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</si>
  <si>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</si>
  <si>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</si>
  <si>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</si>
  <si>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</si>
  <si>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</si>
  <si>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</si>
  <si>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</si>
  <si>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</si>
  <si>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</si>
  <si>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</si>
  <si>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</si>
  <si>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</si>
  <si>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</si>
  <si>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</si>
  <si>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</si>
  <si>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</si>
  <si>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</si>
  <si>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</si>
  <si>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</si>
  <si>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</si>
  <si>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</si>
  <si>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</si>
  <si>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</si>
  <si>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</si>
  <si>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</si>
  <si>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</si>
  <si>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</si>
  <si>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</si>
  <si>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</si>
  <si>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</si>
  <si>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</si>
  <si>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</si>
  <si>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</si>
  <si>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</si>
  <si>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</si>
  <si>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</si>
  <si>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</si>
  <si>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</si>
  <si>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</si>
  <si>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</si>
  <si>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</si>
  <si>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</si>
  <si>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</si>
  <si>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</si>
  <si>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</si>
  <si>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</si>
  <si>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</si>
  <si>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</si>
  <si>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</si>
  <si>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</si>
  <si>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</si>
  <si>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</si>
  <si>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</si>
  <si>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</si>
  <si>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</si>
  <si>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</si>
  <si>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</si>
  <si>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</si>
  <si>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</si>
  <si>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</si>
  <si>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</si>
  <si>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</si>
  <si>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</si>
  <si>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</si>
  <si>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</si>
  <si>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</si>
  <si>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</si>
  <si>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</si>
  <si>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</si>
  <si>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</si>
  <si>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</si>
  <si>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</si>
  <si>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</si>
  <si>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</si>
  <si>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</si>
  <si>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</si>
  <si>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</si>
  <si>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</si>
  <si>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</si>
  <si>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</si>
  <si>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</si>
  <si>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</si>
  <si>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</si>
  <si>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</si>
  <si>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</si>
  <si>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</si>
  <si>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</si>
  <si>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</si>
  <si>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</si>
  <si>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Юридический департамент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</si>
  <si>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</si>
  <si>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</si>
  <si>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</si>
  <si>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</si>
  <si>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</si>
  <si>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</si>
  <si>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</si>
  <si>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</si>
  <si>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</si>
  <si>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</si>
  <si>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</si>
  <si>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</si>
  <si>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</si>
  <si>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</si>
  <si>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</si>
  <si>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</si>
  <si>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</si>
  <si>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</si>
  <si>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</si>
  <si>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</si>
  <si>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</si>
  <si>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</si>
  <si>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</si>
  <si>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</si>
  <si>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</si>
  <si>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</si>
  <si>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</si>
  <si>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</si>
  <si>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</si>
  <si>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</si>
  <si>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</si>
  <si>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</si>
  <si>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</si>
  <si>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</si>
  <si>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</si>
  <si>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</si>
  <si>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</si>
  <si>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</si>
  <si>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</si>
  <si>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</si>
  <si>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</si>
  <si>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</si>
  <si>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</si>
  <si>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</si>
  <si>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</si>
  <si>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</si>
  <si>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</si>
  <si>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</si>
  <si>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</si>
  <si>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</si>
  <si>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</si>
  <si>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</si>
  <si>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</si>
  <si>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</si>
  <si>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</si>
  <si>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</si>
  <si>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</si>
  <si>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</si>
  <si>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</si>
  <si>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</si>
  <si>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</si>
  <si>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</si>
  <si>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</si>
  <si>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</si>
  <si>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</si>
  <si>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</si>
  <si>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</si>
  <si>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</si>
  <si>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</si>
  <si>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</si>
  <si>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</si>
  <si>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</si>
  <si>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</si>
  <si>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</si>
  <si>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</si>
  <si>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</si>
  <si>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</si>
  <si>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</si>
  <si>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</si>
  <si>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</si>
  <si>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</si>
  <si>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</si>
  <si>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</si>
  <si>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</si>
  <si>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</si>
  <si>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</si>
  <si>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</si>
  <si>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</si>
  <si>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</si>
  <si>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</si>
  <si>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</si>
  <si>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</si>
  <si>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</si>
  <si>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</si>
  <si>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</si>
  <si>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</si>
  <si>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</si>
  <si>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</si>
  <si>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</si>
  <si>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</si>
  <si>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</si>
  <si>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</si>
  <si>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</si>
  <si>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</si>
  <si>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</si>
  <si>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</si>
  <si>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</si>
  <si>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</si>
  <si>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</si>
  <si>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</si>
  <si>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</si>
  <si>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</si>
  <si>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</si>
  <si>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</si>
  <si>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</si>
  <si>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</si>
  <si>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</si>
  <si>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</si>
  <si>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</si>
  <si>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</si>
  <si>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</si>
  <si>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</si>
  <si>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</si>
  <si>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</si>
  <si>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</si>
  <si>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</si>
  <si>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</si>
  <si>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</si>
  <si>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</si>
  <si>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</si>
  <si>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</si>
  <si>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</si>
  <si>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</si>
  <si>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</si>
  <si>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</si>
  <si>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</si>
  <si>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</si>
  <si>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</si>
  <si>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</si>
  <si>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</si>
  <si>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</si>
  <si>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</si>
  <si>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</si>
  <si>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</si>
  <si>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</si>
  <si>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</si>
  <si>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</si>
  <si>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</si>
  <si>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</si>
  <si>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</si>
  <si>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</si>
  <si>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</si>
  <si>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</si>
  <si>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</si>
  <si>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</si>
  <si>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</si>
  <si>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</si>
  <si>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</si>
  <si>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</si>
  <si>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</si>
  <si>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</si>
  <si>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</si>
  <si>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</si>
  <si>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</si>
  <si>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</si>
  <si>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</si>
  <si>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</si>
  <si>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</si>
  <si>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</si>
  <si>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</si>
  <si>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</si>
  <si>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</si>
  <si>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</si>
  <si>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</si>
  <si>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</si>
  <si>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</si>
  <si>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</si>
  <si>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</si>
  <si>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</si>
  <si>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</si>
  <si>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</si>
  <si>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</si>
  <si>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</si>
  <si>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</si>
  <si>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</si>
  <si>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</si>
  <si>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</si>
  <si>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</si>
  <si>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</si>
  <si>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</si>
  <si>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</si>
  <si>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</si>
  <si>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</si>
  <si>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</si>
  <si>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</si>
  <si>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</si>
  <si>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</si>
  <si>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</si>
  <si>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</si>
  <si>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</si>
  <si>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</si>
  <si>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</si>
  <si>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</si>
  <si>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</si>
  <si>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</si>
  <si>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</si>
  <si>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</si>
  <si>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</si>
  <si>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</si>
  <si>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</si>
  <si>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</si>
  <si>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</si>
  <si>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</si>
  <si>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</si>
  <si>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</si>
  <si>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</si>
  <si>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</si>
  <si>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</si>
  <si>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</si>
  <si>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</si>
  <si>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</si>
  <si>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</si>
  <si>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</si>
  <si>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</si>
  <si>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</si>
  <si>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</si>
  <si>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</si>
  <si>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</si>
  <si>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</si>
  <si>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</si>
  <si>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</si>
  <si>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</si>
  <si>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</si>
  <si>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</si>
  <si>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</si>
  <si>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</si>
  <si>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</si>
  <si>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</si>
  <si>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</si>
  <si>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</si>
  <si>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</si>
  <si>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</si>
  <si>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</si>
  <si>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</si>
  <si>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</si>
  <si>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</si>
  <si>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</si>
  <si>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</si>
  <si>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</si>
  <si>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</si>
  <si>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</si>
  <si>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</si>
  <si>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</si>
  <si>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</si>
  <si>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</si>
  <si>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</si>
  <si>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</si>
  <si>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</si>
  <si>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</si>
  <si>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</si>
  <si>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</si>
  <si>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</si>
  <si>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</si>
  <si>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</si>
  <si>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</si>
  <si>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</si>
  <si>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</si>
  <si>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</si>
  <si>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</si>
  <si>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</si>
  <si>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</si>
  <si>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</si>
  <si>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</si>
  <si>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</si>
  <si>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</si>
  <si>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</si>
  <si>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</si>
  <si>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</si>
  <si>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</si>
  <si>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</si>
  <si>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</si>
  <si>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</si>
  <si>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</si>
  <si>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</si>
  <si>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</si>
  <si>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</si>
  <si>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</si>
  <si>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</si>
  <si>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</si>
  <si>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</si>
  <si>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</si>
  <si>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</si>
  <si>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</si>
  <si>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</si>
  <si>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</si>
  <si>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</si>
  <si>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</si>
  <si>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</si>
  <si>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</si>
  <si>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</si>
  <si>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</si>
  <si>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</si>
  <si>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</si>
  <si>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</si>
  <si>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</si>
  <si>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</si>
  <si>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</si>
  <si>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</si>
  <si>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</si>
  <si>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</si>
  <si>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</si>
  <si>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</si>
  <si>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</si>
  <si>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</si>
  <si>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</si>
  <si>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</si>
  <si>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</si>
  <si>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</si>
  <si>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</si>
  <si>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</si>
  <si>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</si>
  <si>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</si>
  <si>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</si>
  <si>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</si>
  <si>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</si>
  <si>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</si>
  <si>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</si>
  <si>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</si>
  <si>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</si>
  <si>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</si>
  <si>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</si>
  <si>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</si>
  <si>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</si>
  <si>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</si>
  <si>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</si>
  <si>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</si>
  <si>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</si>
  <si>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</si>
  <si>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</si>
  <si>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</si>
  <si>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</si>
  <si>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</si>
  <si>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</si>
  <si>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</si>
  <si>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</si>
  <si>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</si>
  <si>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</si>
  <si>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</si>
  <si>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</si>
  <si>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</si>
  <si>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</si>
  <si>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</si>
  <si>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</si>
  <si>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</si>
  <si>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</si>
  <si>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</si>
  <si>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</si>
  <si>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</si>
  <si>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</si>
  <si>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</si>
  <si>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</si>
  <si>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</si>
  <si>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</si>
  <si>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</si>
  <si>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</si>
  <si>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</si>
  <si>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</si>
  <si>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</si>
  <si>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</si>
  <si>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</si>
  <si>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</si>
  <si>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</si>
  <si>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</si>
  <si>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</si>
  <si>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</si>
  <si>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</si>
  <si>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</si>
  <si>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</si>
  <si>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</si>
  <si>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</si>
  <si>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</si>
  <si>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</si>
  <si>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</si>
  <si>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</si>
  <si>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</si>
  <si>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</si>
  <si>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</si>
  <si>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</si>
  <si>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</si>
  <si>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</si>
  <si>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</si>
  <si>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</si>
  <si>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</si>
  <si>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</si>
  <si>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</si>
  <si>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</si>
  <si>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</si>
  <si>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</si>
  <si>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</si>
  <si>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</si>
  <si>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</si>
  <si>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</si>
  <si>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</si>
  <si>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</si>
  <si>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</si>
  <si>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</si>
  <si>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</si>
  <si>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</si>
  <si>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</si>
  <si>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</si>
  <si>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</si>
  <si>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</si>
  <si>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</si>
  <si>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</si>
  <si>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</si>
  <si>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</si>
  <si>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</si>
  <si>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</si>
  <si>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</si>
  <si>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</si>
  <si>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</si>
  <si>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</si>
  <si>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</si>
  <si>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</si>
  <si>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</si>
  <si>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</si>
  <si>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</si>
  <si>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</si>
  <si>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</si>
  <si>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</si>
  <si>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</si>
  <si>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</si>
  <si>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</si>
  <si>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</si>
  <si>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</si>
  <si>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</si>
  <si>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</si>
  <si>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</si>
  <si>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</si>
  <si>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</si>
  <si>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</si>
  <si>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</si>
  <si>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</si>
  <si>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</si>
  <si>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</si>
  <si>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</si>
  <si>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</si>
  <si>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</si>
  <si>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</si>
  <si>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</si>
  <si>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</si>
  <si>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</si>
  <si>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</si>
  <si>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</si>
  <si>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</si>
  <si>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</si>
  <si>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</si>
  <si>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</si>
  <si>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</si>
  <si>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</si>
  <si>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</si>
  <si>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</si>
  <si>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</si>
  <si>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</si>
  <si>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</si>
  <si>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</si>
  <si>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</si>
  <si>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</si>
  <si>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</si>
  <si>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</si>
  <si>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</si>
  <si>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</si>
  <si>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</si>
  <si>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</si>
  <si>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</si>
  <si>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</si>
  <si>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</si>
  <si>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</si>
  <si>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</si>
  <si>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</si>
  <si>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</si>
  <si>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</si>
  <si>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</si>
  <si>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</si>
  <si>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</si>
  <si>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</si>
  <si>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</si>
  <si>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</si>
  <si>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</si>
  <si>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</si>
  <si>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</si>
  <si>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</si>
  <si>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</si>
  <si>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</si>
  <si>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</si>
  <si>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</si>
  <si>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</si>
  <si>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</si>
  <si>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</si>
  <si>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</si>
  <si>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</si>
  <si>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</si>
  <si>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</si>
  <si>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</si>
  <si>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</si>
  <si>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</si>
  <si>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</si>
  <si>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</si>
  <si>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</si>
  <si>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</si>
  <si>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</si>
  <si>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</si>
  <si>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</si>
  <si>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</si>
  <si>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</si>
  <si>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</si>
  <si>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</si>
  <si>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</si>
  <si>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</si>
  <si>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</si>
  <si>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</si>
  <si>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</si>
  <si>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</si>
  <si>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</si>
  <si>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</si>
  <si>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</si>
  <si>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</si>
  <si>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</si>
  <si>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</si>
  <si>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</si>
  <si>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</si>
  <si>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</si>
  <si>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</si>
  <si>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</si>
  <si>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</si>
  <si>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</si>
  <si>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</si>
  <si>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</si>
  <si>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</si>
  <si>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</si>
  <si>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</si>
  <si>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</si>
  <si>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</si>
  <si>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</si>
  <si>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</si>
  <si>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</si>
  <si>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</si>
  <si>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</si>
  <si>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</si>
  <si>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</si>
  <si>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</si>
  <si>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</si>
  <si>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</si>
  <si>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</si>
  <si>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</si>
  <si>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</si>
  <si>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</si>
  <si>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</si>
  <si>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</si>
  <si>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</si>
  <si>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</si>
  <si>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</si>
  <si>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</si>
  <si>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</si>
  <si>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</si>
  <si>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</si>
  <si>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</si>
  <si>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</si>
  <si>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</si>
  <si>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</si>
  <si>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</si>
  <si>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</si>
  <si>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</si>
  <si>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</si>
  <si>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</si>
  <si>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</si>
  <si>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</si>
  <si>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</si>
  <si>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</si>
  <si>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</si>
  <si>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</si>
  <si>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</si>
  <si>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</si>
  <si>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</si>
  <si>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</si>
  <si>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</si>
  <si>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</si>
  <si>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</si>
  <si>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</si>
  <si>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</si>
  <si>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</si>
  <si>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</si>
  <si>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</si>
  <si>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</si>
  <si>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</si>
  <si>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</si>
  <si>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</si>
  <si>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</si>
  <si>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</si>
  <si>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</si>
  <si>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</si>
  <si>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</si>
  <si>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</si>
  <si>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</si>
  <si>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</si>
  <si>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</si>
  <si>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</si>
  <si>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</si>
  <si>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</si>
  <si>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</si>
  <si>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</si>
  <si>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</si>
  <si>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</si>
  <si>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</si>
  <si>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</si>
  <si>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</si>
  <si>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</si>
  <si>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</si>
  <si>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</si>
  <si>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</si>
  <si>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</si>
  <si>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</si>
  <si>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</si>
  <si>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</si>
  <si>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</si>
  <si>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</si>
  <si>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</si>
  <si>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</si>
  <si>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</si>
  <si>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</si>
  <si>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</si>
  <si>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</si>
  <si>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</si>
  <si>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</si>
  <si>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</si>
  <si>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</si>
  <si>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</si>
  <si>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</si>
  <si>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</si>
  <si>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</si>
  <si>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</si>
  <si>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</si>
  <si>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</si>
  <si>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</si>
  <si>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</si>
  <si>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</si>
  <si>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</si>
  <si>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</si>
  <si>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</si>
  <si>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</si>
  <si>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</si>
  <si>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</si>
  <si>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</si>
  <si>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</si>
  <si>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</si>
  <si>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</si>
  <si>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</si>
  <si>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</si>
  <si>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</si>
  <si>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</si>
  <si>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</si>
  <si>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</si>
  <si>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</si>
  <si>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</si>
  <si>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</si>
  <si>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</si>
  <si>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</si>
  <si>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</si>
  <si>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</si>
  <si>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</si>
  <si>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</si>
  <si>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</si>
  <si>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</si>
  <si>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</si>
  <si>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</si>
  <si>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</si>
  <si>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</si>
  <si>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</si>
  <si>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</si>
  <si>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</si>
  <si>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</si>
  <si>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</si>
  <si>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</si>
  <si>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</si>
  <si>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</si>
  <si>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</si>
  <si>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</si>
  <si>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</si>
  <si>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</si>
  <si>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</si>
  <si>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</si>
  <si>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</si>
  <si>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</si>
  <si>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</si>
  <si>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</si>
  <si>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</si>
  <si>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</si>
  <si>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</si>
  <si>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</si>
  <si>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</si>
  <si>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</si>
  <si>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</si>
  <si>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</si>
  <si>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</si>
  <si>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</si>
  <si>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</si>
  <si>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</si>
  <si>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</si>
  <si>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</si>
  <si>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</si>
  <si>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</si>
  <si>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</si>
  <si>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</si>
  <si>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</si>
  <si>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</si>
  <si>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</si>
  <si>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</si>
  <si>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</si>
  <si>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</si>
  <si>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</si>
  <si>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</si>
  <si>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</si>
  <si>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</si>
  <si>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</si>
  <si>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</si>
  <si>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</si>
  <si>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</si>
  <si>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</si>
  <si>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</si>
  <si>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</si>
  <si>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</si>
  <si>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</si>
  <si>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</si>
  <si>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</si>
  <si>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</si>
  <si>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</si>
  <si>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</si>
  <si>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</si>
  <si>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</si>
  <si>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</si>
  <si>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</si>
  <si>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</si>
  <si>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</si>
  <si>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</si>
  <si>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</si>
  <si>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</si>
  <si>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</si>
  <si>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</si>
  <si>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</si>
  <si>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</si>
  <si>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</si>
  <si>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</si>
  <si>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</si>
  <si>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</si>
  <si>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</si>
  <si>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</si>
  <si>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</si>
  <si>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</si>
  <si>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</si>
  <si>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</si>
  <si>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</si>
  <si>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</si>
  <si>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</si>
  <si>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</si>
  <si>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</si>
  <si>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</si>
  <si>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</si>
  <si>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</si>
  <si>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</si>
  <si>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</si>
  <si>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</si>
  <si>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</si>
  <si>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</si>
  <si>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</si>
  <si>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</si>
  <si>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</si>
  <si>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</si>
  <si>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</si>
  <si>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</si>
  <si>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</si>
  <si>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</si>
  <si>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</si>
  <si>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</si>
  <si>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</si>
  <si>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</si>
  <si>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</si>
  <si>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</si>
  <si>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</si>
  <si>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</si>
  <si>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</si>
  <si>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</si>
  <si>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</si>
  <si>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</si>
  <si>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</si>
  <si>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</si>
  <si>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</si>
  <si>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</si>
  <si>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</si>
  <si>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</si>
  <si>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</si>
  <si>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</si>
  <si>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</si>
  <si>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</si>
  <si>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</si>
  <si>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</si>
  <si>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</si>
  <si>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</si>
  <si>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</si>
  <si>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</si>
  <si>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</si>
  <si>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</si>
  <si>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</si>
  <si>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</si>
  <si>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</si>
  <si>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</si>
  <si>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</si>
  <si>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</si>
  <si>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</si>
  <si>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</si>
  <si>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</si>
  <si>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</si>
  <si>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</si>
  <si>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</si>
  <si>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</si>
  <si>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</si>
  <si>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</si>
  <si>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</si>
  <si>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</si>
  <si>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</si>
  <si>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</si>
  <si>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</si>
  <si>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</si>
  <si>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</si>
  <si>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</si>
  <si>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</si>
  <si>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</si>
  <si>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</si>
  <si>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</si>
  <si>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</si>
  <si>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</si>
  <si>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</si>
  <si>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</si>
  <si>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</si>
  <si>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</si>
  <si>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</si>
  <si>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</si>
  <si>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</si>
  <si>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</si>
  <si>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</si>
  <si>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</si>
  <si>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</si>
  <si>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</si>
  <si>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</si>
  <si>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</si>
  <si>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</si>
  <si>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</si>
  <si>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</si>
  <si>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</si>
  <si>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</si>
  <si>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</si>
  <si>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</si>
  <si>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</si>
  <si>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</si>
  <si>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</si>
  <si>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</si>
  <si>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</si>
  <si>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</si>
  <si>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</si>
  <si>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</si>
  <si>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</si>
  <si>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</si>
  <si>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</si>
  <si>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</si>
  <si>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</si>
  <si>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</si>
  <si>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</si>
  <si>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</si>
  <si>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</si>
  <si>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</si>
  <si>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</si>
  <si>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</si>
  <si>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</si>
  <si>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</si>
  <si>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</si>
  <si>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</si>
  <si>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</si>
  <si>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</si>
  <si>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</si>
  <si>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</si>
  <si>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</si>
  <si>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</si>
  <si>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</si>
  <si>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</si>
  <si>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</si>
  <si>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</si>
  <si>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</si>
  <si>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</si>
  <si>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</si>
  <si>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</si>
  <si>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</si>
  <si>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</si>
  <si>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</si>
  <si>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</si>
  <si>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</si>
  <si>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</si>
  <si>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</si>
  <si>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</si>
  <si>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</si>
  <si>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</si>
  <si>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</si>
  <si>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</si>
  <si>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</si>
  <si>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</si>
  <si>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</si>
  <si>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</si>
  <si>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</si>
  <si>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</si>
  <si>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</si>
  <si>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</si>
  <si>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</si>
  <si>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</si>
  <si>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</si>
  <si>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</si>
  <si>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</si>
  <si>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</si>
  <si>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</si>
  <si>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</si>
  <si>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</si>
  <si>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</si>
  <si>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</si>
  <si>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</si>
  <si>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</si>
  <si>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</si>
  <si>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</si>
  <si>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</si>
  <si>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</si>
  <si>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</si>
  <si>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</si>
  <si>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</si>
  <si>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</si>
  <si>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</si>
  <si>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</si>
  <si>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</si>
  <si>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</si>
  <si>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</si>
  <si>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</si>
  <si>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</si>
  <si>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</si>
  <si>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</si>
  <si>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</si>
  <si>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</si>
  <si>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</si>
  <si>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</si>
  <si>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</si>
  <si>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</si>
  <si>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</si>
  <si>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</si>
  <si>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</si>
  <si>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</si>
  <si>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</si>
  <si>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</si>
  <si>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</si>
  <si>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</si>
  <si>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</si>
  <si>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</si>
  <si>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</si>
  <si>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</si>
  <si>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</si>
  <si>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</si>
  <si>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</si>
  <si>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</si>
  <si>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</si>
  <si>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</si>
  <si>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</si>
  <si>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</si>
  <si>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</si>
  <si>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</si>
  <si>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</si>
  <si>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</si>
  <si>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</si>
  <si>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</si>
  <si>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</si>
  <si>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</si>
  <si>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</si>
  <si>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</si>
  <si>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</si>
  <si>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</si>
  <si>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</si>
  <si>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</si>
  <si>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</si>
  <si>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</si>
  <si>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</si>
  <si>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</si>
  <si>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</si>
  <si>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</si>
  <si>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</si>
  <si>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</si>
  <si>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</si>
  <si>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</si>
  <si>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</si>
  <si>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</si>
  <si>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</si>
  <si>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</si>
  <si>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</si>
  <si>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</si>
  <si>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</si>
  <si>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</si>
  <si>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</si>
  <si>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</si>
  <si>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</si>
  <si>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</si>
  <si>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</si>
  <si>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</si>
  <si>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</si>
  <si>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</si>
  <si>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</si>
  <si>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</si>
  <si>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</si>
  <si>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</si>
  <si>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</si>
  <si>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</si>
  <si>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</si>
  <si>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</si>
  <si>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</si>
  <si>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</si>
  <si>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</si>
  <si>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</si>
  <si>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</si>
  <si>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</si>
  <si>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</si>
  <si>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</si>
  <si>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</si>
  <si>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</si>
  <si>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</si>
  <si>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</si>
  <si>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</si>
  <si>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</si>
  <si>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</si>
  <si>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</si>
  <si>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</si>
  <si>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</si>
  <si>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</si>
  <si>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</si>
  <si>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</si>
  <si>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</si>
  <si>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</si>
  <si>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</si>
  <si>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</si>
  <si>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</si>
  <si>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</si>
  <si>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</si>
  <si>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</si>
  <si>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</si>
  <si>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</si>
  <si>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</si>
  <si>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</si>
  <si>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</si>
  <si>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</si>
  <si>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</si>
  <si>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</si>
  <si>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</si>
  <si>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</si>
  <si>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</si>
  <si>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</si>
  <si>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</si>
  <si>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</si>
  <si>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</si>
  <si>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</si>
  <si>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</si>
  <si>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</si>
  <si>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</si>
  <si>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</si>
  <si>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</si>
  <si>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</si>
  <si>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</si>
  <si>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</si>
  <si>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</si>
  <si>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</si>
  <si>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</si>
  <si>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</si>
  <si>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</si>
  <si>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</si>
  <si>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</si>
  <si>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</si>
  <si>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</si>
  <si>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</si>
  <si>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</si>
  <si>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</si>
  <si>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</si>
  <si>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</si>
  <si>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</si>
  <si>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</si>
  <si>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</si>
  <si>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</si>
  <si>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</si>
  <si>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</si>
  <si>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</si>
  <si>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</si>
  <si>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</si>
  <si>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</si>
  <si>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</si>
  <si>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</si>
  <si>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</si>
  <si>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</si>
  <si>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</si>
  <si>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</si>
  <si>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</si>
  <si>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</si>
  <si>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</si>
  <si>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</si>
  <si>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</si>
  <si>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</si>
  <si>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</si>
  <si>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</si>
  <si>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</si>
  <si>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</si>
  <si>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</si>
  <si>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</si>
  <si>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</si>
  <si>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</si>
  <si>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</si>
  <si>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</si>
  <si>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</si>
  <si>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</si>
  <si>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</si>
  <si>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</si>
  <si>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</si>
  <si>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</si>
  <si>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</si>
  <si>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</si>
  <si>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</si>
  <si>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</si>
  <si>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</si>
  <si>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</si>
  <si>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</si>
  <si>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</si>
  <si>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</si>
  <si>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</si>
  <si>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</si>
  <si>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</si>
  <si>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</si>
  <si>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</si>
  <si>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</si>
  <si>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</si>
  <si>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</si>
  <si>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</si>
  <si>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</si>
  <si>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</si>
  <si>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</si>
  <si>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</si>
  <si>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</si>
  <si>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</si>
  <si>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</si>
  <si>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</si>
  <si>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</si>
  <si>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</si>
  <si>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</si>
  <si>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</si>
  <si>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</si>
  <si>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</si>
  <si>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</si>
  <si>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</si>
  <si>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</si>
  <si>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</si>
  <si>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</si>
  <si>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</si>
  <si>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</si>
  <si>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</si>
  <si>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</si>
  <si>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</si>
  <si>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</si>
  <si>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</si>
  <si>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</si>
  <si>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</si>
  <si>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</si>
  <si>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</si>
  <si>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</si>
  <si>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</si>
  <si>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</si>
  <si>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</si>
  <si>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</si>
  <si>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</si>
  <si>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</si>
  <si>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</si>
  <si>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</si>
  <si>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</si>
  <si>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</si>
  <si>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</si>
  <si>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</si>
  <si>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</si>
  <si>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</si>
  <si>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</si>
  <si>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</si>
  <si>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</si>
  <si>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</si>
  <si>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</si>
  <si>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</si>
  <si>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</si>
  <si>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</si>
  <si>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</si>
  <si>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</si>
  <si>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</si>
  <si>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</si>
  <si>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</si>
  <si>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</si>
  <si>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</si>
  <si>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</si>
  <si>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</si>
  <si>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</si>
  <si>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</si>
  <si>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</si>
  <si>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</si>
  <si>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</si>
  <si>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</si>
  <si>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</si>
  <si>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</si>
  <si>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</si>
  <si>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</si>
  <si>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</si>
  <si>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</si>
  <si>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</si>
  <si>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</si>
  <si>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</si>
  <si>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</si>
  <si>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</si>
  <si>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</si>
  <si>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</si>
  <si>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</si>
  <si>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</si>
  <si>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</si>
  <si>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</si>
  <si>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</si>
  <si>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</si>
  <si>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</si>
  <si>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</si>
  <si>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</si>
  <si>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</si>
  <si>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</si>
  <si>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</si>
  <si>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</si>
  <si>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</si>
  <si>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</si>
  <si>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</si>
  <si>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</si>
  <si>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</si>
  <si>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</si>
  <si>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</si>
  <si>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</si>
  <si>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</si>
  <si>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</si>
  <si>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</si>
  <si>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</si>
  <si>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</si>
  <si>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</si>
  <si>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</si>
  <si>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</si>
  <si>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</si>
  <si>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</si>
  <si>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</si>
  <si>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</si>
  <si>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</si>
  <si>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</si>
  <si>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</si>
  <si>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</si>
  <si>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</si>
  <si>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</si>
  <si>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</si>
  <si>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</si>
  <si>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</si>
  <si>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</si>
  <si>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</si>
  <si>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</si>
  <si>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</si>
  <si>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</si>
  <si>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</si>
  <si>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</si>
  <si>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</si>
  <si>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</si>
  <si>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</si>
  <si>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</si>
  <si>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</si>
  <si>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</si>
  <si>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</si>
  <si>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</si>
  <si>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</si>
  <si>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</si>
  <si>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</si>
  <si>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</si>
  <si>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</si>
  <si>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</si>
  <si>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</si>
  <si>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</si>
  <si>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</si>
  <si>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</si>
  <si>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</si>
  <si>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</si>
  <si>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</si>
  <si>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</si>
  <si>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</si>
  <si>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</si>
  <si>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</si>
  <si>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</si>
  <si>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</si>
  <si>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</si>
  <si>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</si>
  <si>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</si>
  <si>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</si>
  <si>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</si>
  <si>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</si>
  <si>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</si>
  <si>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</si>
  <si>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</si>
  <si>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</si>
  <si>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</si>
  <si>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</si>
  <si>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</si>
  <si>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</si>
  <si>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</si>
  <si>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</si>
  <si>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</si>
  <si>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</si>
  <si>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</si>
  <si>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</si>
  <si>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</si>
  <si>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</si>
  <si>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</si>
  <si>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</si>
  <si>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</si>
  <si>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</si>
  <si>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</si>
  <si>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</si>
  <si>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</si>
  <si>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</si>
  <si>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</si>
  <si>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</si>
  <si>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</si>
  <si>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</si>
  <si>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</si>
  <si>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</si>
  <si>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</si>
  <si>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</si>
  <si>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</si>
  <si>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</si>
  <si>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</si>
  <si>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</si>
  <si>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</si>
  <si>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</si>
  <si>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</si>
  <si>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</si>
  <si>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</si>
  <si>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</si>
  <si>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</si>
  <si>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</si>
  <si>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</si>
  <si>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</si>
  <si>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</si>
  <si>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</si>
  <si>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</si>
  <si>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</si>
  <si>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</si>
  <si>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</si>
  <si>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</si>
  <si>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</si>
  <si>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</si>
  <si>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</si>
  <si>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</si>
  <si>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</si>
  <si>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</si>
  <si>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</si>
  <si>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</si>
  <si>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</si>
  <si>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</si>
  <si>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</si>
  <si>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</si>
  <si>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</si>
  <si>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</si>
  <si>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</si>
  <si>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</si>
  <si>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</si>
  <si>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</si>
  <si>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</si>
  <si>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</si>
  <si>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</si>
  <si>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</si>
  <si>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</si>
  <si>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</si>
  <si>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</si>
  <si>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</si>
  <si>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</si>
  <si>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</si>
  <si>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</si>
  <si>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</si>
  <si>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</si>
  <si>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</si>
  <si>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</si>
  <si>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</si>
  <si>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</si>
  <si>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</si>
  <si>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</si>
  <si>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</si>
  <si>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</si>
  <si>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</si>
  <si>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</si>
  <si>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</si>
  <si>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</si>
  <si>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</si>
  <si>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</si>
  <si>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</si>
  <si>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</si>
  <si>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</si>
  <si>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</si>
  <si>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</si>
  <si>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</si>
  <si>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</si>
  <si>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</si>
  <si>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</si>
  <si>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</si>
  <si>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</si>
  <si>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</si>
  <si>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</si>
  <si>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</si>
  <si>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</si>
  <si>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</si>
  <si>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</si>
  <si>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</si>
  <si>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</si>
  <si>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</si>
  <si>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</si>
  <si>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</si>
  <si>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</si>
  <si>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</si>
  <si>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</si>
  <si>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</si>
  <si>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</si>
  <si>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</si>
  <si>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</si>
  <si>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</si>
  <si>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</si>
  <si>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</si>
  <si>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</si>
  <si>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</si>
  <si>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</si>
  <si>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</si>
  <si>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</si>
  <si>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</si>
  <si>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</si>
  <si>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</si>
  <si>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</si>
  <si>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</si>
  <si>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</si>
  <si>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</si>
  <si>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</si>
  <si>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</si>
  <si>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</si>
  <si>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</si>
  <si>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</si>
  <si>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</si>
  <si>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</si>
  <si>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</si>
  <si>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</si>
  <si>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</si>
  <si>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</si>
  <si>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</si>
  <si>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</si>
  <si>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</si>
  <si>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</si>
  <si>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</si>
  <si>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</si>
  <si>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</si>
  <si>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</si>
  <si>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</si>
  <si>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</si>
  <si>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</si>
  <si>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</si>
  <si>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</si>
  <si>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</si>
  <si>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</si>
  <si>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</si>
  <si>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</si>
  <si>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</si>
  <si>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</si>
  <si>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</si>
  <si>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</si>
  <si>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</si>
  <si>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</si>
  <si>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</si>
  <si>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</si>
  <si>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</si>
  <si>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</si>
  <si>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Дата</t>
  </si>
  <si>
    <t>Номер</t>
  </si>
  <si>
    <t>Вид операции</t>
  </si>
  <si>
    <t>Сумма</t>
  </si>
  <si>
    <t>Счет организации</t>
  </si>
  <si>
    <t>Контрагент</t>
  </si>
  <si>
    <t>Организация</t>
  </si>
  <si>
    <t>Подразделение</t>
  </si>
  <si>
    <t>Ответственный</t>
  </si>
  <si>
    <t>Комментарий</t>
  </si>
  <si>
    <t>Назначение платежа</t>
  </si>
  <si>
    <t>10.01.2018 0:00:00</t>
  </si>
  <si>
    <t>Оплата поставщику</t>
  </si>
  <si>
    <t>СБЕРБАНК РОССИИ ПАО (Расчетный)</t>
  </si>
  <si>
    <t>Котельная-Павшино ООО</t>
  </si>
  <si>
    <t>Сфера ООО</t>
  </si>
  <si>
    <t>Нагорная Л.В.</t>
  </si>
  <si>
    <t>Загружен из Клиент-Банка</t>
  </si>
  <si>
    <t>Отопление за октябрь 17, договор №09-С/П-15 от 01.09.15, счет №616 от 31.10.17. В т.ч. НДС (18%) 198305,08</t>
  </si>
  <si>
    <t>Отопление за ноябрь 17, договор №09-С/П-15 от 01.09.15, счет №700 от 30.11.17  Объект: Павшинский бульвар д.34. В т.ч. НДС (18%) 153486,87</t>
  </si>
  <si>
    <t>Отопление за ноябрь 17, договор №09-С/П-15 от 01.09.15, счет №700 от 30.11.17  Объект: Павшинский бульвар д.38. В т.ч. НДС (18%) 47580,82</t>
  </si>
  <si>
    <t>12.01.2018 0:00:00</t>
  </si>
  <si>
    <t>Отопление за ноябрь 17, договор №09-С/П-15 от 01.09.15, счет №700 от 30.11.17  Объект: Ильинский б-р, д. 2А. В т.ч. НДС (18%) 226665,99</t>
  </si>
  <si>
    <t>Отопление за ноябрь 17, договор №09-С/П-15 от 01.09.15, счет №700 от 30.11.17  Объект: Красногорский б-р, д. 6. В т.ч. НДС (18%) 84838,77</t>
  </si>
  <si>
    <t>15.01.2018 0:00:00</t>
  </si>
  <si>
    <t>Отопление за ноябрь 17, договор №09-С/П-15 от 01.09.15, счет №700 от 30.11.17  Объект: Красногорский б-р, д. 28. В т.ч. НДС (18%) 88296,16</t>
  </si>
  <si>
    <t>СБЕРБАНК РОССИИ ПАО (Спец.)</t>
  </si>
  <si>
    <t>Отопление за ноябрь 17, договор №09-С/П-15 от 01.09.15, счет №700 от 30.11.17  Объект: Красногорский б-р, д. 8. В т.ч. НДС (18%) 140983,85</t>
  </si>
  <si>
    <t>Отопление за ноябрь 17, договор №09-С/П-15 от 01.09.15, счет №700 от 30.11.17  Объект: Красногорский б-р, д. 10. В т.ч. НДС (18%) 166368,89</t>
  </si>
  <si>
    <t>Отопление за ноябрь 17, договор №09-С/П-15 от 01.09.15, счет №700 от 30.11.17  Объект: Красногорский б-р, д. 14. В т.ч. НДС (18%) 226189,6</t>
  </si>
  <si>
    <t>17.01.2018 0:00:00</t>
  </si>
  <si>
    <t>Отопление за ноябрь 17, договор №09-С/П-15 от 01.09.15, счет №700 от 30.11.17  Объект: Красногорский б-р, д. 3. В т.ч. НДС (18%) 18366,72</t>
  </si>
  <si>
    <t>Отопление за ноябрь 17, договор №09-С/П-15 от 01.09.15, счет №700 от 30.11.17  Объект: Красногорский б-р, д. 20. В т.ч. НДС (18%) 270674,14</t>
  </si>
  <si>
    <t>22.01.2018 0:00:00</t>
  </si>
  <si>
    <t>Отопление за ноябрь 17, договор №09-С/П-15 от 01.09.15, счет №700 от 30.11.17  Объект: Красногорский б-р, д. 18. В т.ч. НДС (18%) 366765,99</t>
  </si>
  <si>
    <t>24.01.2018 0:00:00</t>
  </si>
  <si>
    <t>Отопление за ноябрь 17, договор №09-С/П-15 от 01.09.15, счет №700 от 30.11.17  Объект: Красногорский б-р, д. 50. В т.ч. НДС (18%) 129026,75</t>
  </si>
  <si>
    <t>Отопление за ноябрь 17, договор №09-С/П-15 от 01.09.15, счет №700 от 30.11.17  Объект: Павшинский бульвар д.15. В т.ч. НДС (18%) 42770,82</t>
  </si>
  <si>
    <t>Отопление за ноябрь 17, договор №09-С/П-15 от 01.09.15, счет №700 от 30.11.17  Объект: Павшинский бульвар д.36. В т.ч. НДС (18%) 121764,66</t>
  </si>
  <si>
    <t>26.01.2018 0:00:00</t>
  </si>
  <si>
    <t>Отопление за ноябрь 17, договор №09-С/П-15 от 01.09.15, счет №700 от 30.11.17  Объект: Красногорский б-р, д. 46. В т.ч. НДС (18%) 102353,62</t>
  </si>
  <si>
    <t>Отопление за ноябрь 17, договор №09-С/П-15 от 01.09.15, счет №700 от 30.11.17  Объект: ул. Головкина, д. 7. В т.ч. НДС (18%) 76470,18</t>
  </si>
  <si>
    <t>31.01.2018 0:00:00</t>
  </si>
  <si>
    <t>Отопление за ноябрь 17, договор №09-С/П-15 от 01.09.15, счет №700 от 30.11.17  Объект: Красногорский б-р, д. 48. В т.ч. НДС (18%) 104496,81</t>
  </si>
  <si>
    <t>06.02.2018 0:00:00</t>
  </si>
  <si>
    <t>Отопление за ноябрь 17, договор №09-С/П-15 от 01.09.15, счет №700 от 30.11.17  Объект: Красногорский б-р, д. 32. В т.ч. НДС (18%) 97132,93</t>
  </si>
  <si>
    <t>07.02.2018 0:00:00</t>
  </si>
  <si>
    <t>Отопление за ноябрь 17, договор №09-С/П-15 от 01.09.15, счет №700 от 30.11.17  Объект: Красногорский б-р, д. 26. В т.ч. НДС (18%) 273659,24</t>
  </si>
  <si>
    <t>09.02.2018 0:00:00</t>
  </si>
  <si>
    <t>Отопление за ноябрь 17, договор №09-С/П-15 от 01.09.15, счет №700 от 30.11.17  Объект: Красногорский б-р, д. 24. В т.ч. НДС (18%) 408983,55</t>
  </si>
  <si>
    <t>12.02.2018 0:00:00</t>
  </si>
  <si>
    <t>Отопление за ноябрь 17, договор №09-С/П-15 от 01.09.15, счет №700 от 30.11.17  Объект: Красногорский б-р, д. 34. В т.ч. НДС (18%) 85394,66</t>
  </si>
  <si>
    <t>Отопление за ноябрь 17, договор №09-С/П-15 от 01.09.15, счет №700 от 30.11.17  Объект: Красногорский б-р, д. 36. В т.ч. НДС (18%) 261199,34</t>
  </si>
  <si>
    <t>15.02.2018 0:00:00</t>
  </si>
  <si>
    <t>Отопление за декабрь 17, договор №09-С/П-15 от 01.09.15, счет №780 от 31.12.17  Объект: Красногорский б-р, д.50. В т.ч. НДС (18%) 127279,57</t>
  </si>
  <si>
    <t>Отопление за декабрь 17, договор №09-С/П-15 от 01.09.15, счет №780 от 31.12.17  Объект: Павшинский б-р, д.15. В т.ч. НДС (18%) 51823,49</t>
  </si>
  <si>
    <t>Отопление за декабрь 17, договор №09-С/П-15 от 01.09.15, счет №780 от 31.12.17  Объект: Павшинский б-р  д.36. В т.ч. НДС (18%) 11561,62</t>
  </si>
  <si>
    <t>Отопление за декабрь 17, договор №09-С/П-15 от 01.09.15, счет №780 от 31.12.17  Объект: Красногорский б-р, д.10. В т.ч. НДС (18%) 215123,1</t>
  </si>
  <si>
    <t>Отопление за декабрь 17, договор №09-С/П-15 от 01.09.15, счет №780 от 31.12.17  Объект: Павшинский б-р  д.34. В т.ч. НДС (18%) 37165,56</t>
  </si>
  <si>
    <t>19.02.2018 0:00:00</t>
  </si>
  <si>
    <t>Отопление за декабрь 17, договор №09-С/П-15 от 01.09.15, счет №780 от 31.12.17  Объект: Красногорский б-р, д.3 . В т.ч. НДС (18%) 19108,01</t>
  </si>
  <si>
    <t>Отопление за декабрь 17, договор №09-С/П-15 от 01.09.15, счет №780 от 31.12.17  Объект: Красногорский б-р, д.6 . В т.ч. НДС (18%) 105722,41</t>
  </si>
  <si>
    <t>Отопление за декабрь 17, договор №09-С/П-15 от 01.09.15, счет №780 от 31.12.17  Объект: Красногорский б-р, д.8. В т.ч. НДС (18%) 146397,85</t>
  </si>
  <si>
    <t>22.02.2018 0:00:00</t>
  </si>
  <si>
    <t>Отопление за декабрь 17, договор №09-С/П-15 от 01.09.15, счет №780 от 31.12.17  Объект: Красногорский б-р, д.46. В т.ч. НДС (18%) 112146,12</t>
  </si>
  <si>
    <t>Отопление за декабрь 17, договор №09-С/П-15 от 01.09.15, счет №780 от 31.12.17  Объект: Павшинский б-р  д.38. В т.ч. НДС (18%) 57391,21</t>
  </si>
  <si>
    <t>26.02.2018 0:00:00</t>
  </si>
  <si>
    <t>Отопление за декабрь 17, договор №09-С/П-15 от 01.09.15, счет №780 от 31.12.17  Объект: Красногорский б-р, д.20. В т.ч. НДС (18%) 291367,11</t>
  </si>
  <si>
    <t>07.03.2018 0:00:00</t>
  </si>
  <si>
    <t>Отопление за декабрь 17, договор №09-С/П-15 от 01.09.15, счет №780 от 31.12.17  Объект: Красногорский б-р, д.48. В т.ч. НДС (18%) 109886,47</t>
  </si>
  <si>
    <t>Отопление за декабрь 17, договор №09-С/П-15 от 01.09.15, счет №780 от 31.12.17  Объект: Головкина  д.7. В т.ч. НДС (18%) 80128,21</t>
  </si>
  <si>
    <t>13.03.2018 0:00:00</t>
  </si>
  <si>
    <t>Отопление за декабрь 17, договор №09-С/П-15 от 01.09.15, счет №780 от 31.12.17  Объект: Красногорский б-р, д.28. В т.ч. НДС (18%) 92635,05</t>
  </si>
  <si>
    <t>Отопление за декабрь 17, договор №09-С/П-15 от 01.09.15, счет №780 от 31.12.17  Объект: Красногорский б-р, д.32. В т.ч. НДС (18%) 96767,71</t>
  </si>
  <si>
    <t>Отопление за декабрь 17, договор №09-С/П-15 от 01.09.15, счет №780 от 31.12.17  Объект: Красногорский б-р, д.34. В т.ч. НДС (18%) 91190,61</t>
  </si>
  <si>
    <t>14.03.2018 0:00:00</t>
  </si>
  <si>
    <t>Отопление за декабрь 17, договор №09-С/П-15 от 01.09.15, счет №780 от 31.12.17  Объект: Красногорский б-р, д.18. В т.ч. НДС (18%) 385649,29</t>
  </si>
  <si>
    <t>15.03.2018 0:00:00</t>
  </si>
  <si>
    <t>Отопление за декабрь 17, договор №09-С/П-15 от 01.09.15, счет №780 от 31.12.17  Объект: Ильинский б-р, д. 2А . В т.ч. НДС (18%) 229358,03</t>
  </si>
  <si>
    <t>19.03.2018 0:00:00</t>
  </si>
  <si>
    <t>Отопление за декабрь 17, договор №09-С/П-15 от 01.09.15, счет №780 от 31.12.17  Объект: Красногорский б-р, д.14. В т.ч. НДС (18%) 286334,75</t>
  </si>
  <si>
    <t>30.03.2018 0:00:00</t>
  </si>
  <si>
    <t>Отопление за декабрь 17, договор №09-С/П-15 от 01.09.15, счет №780 от 31.12.17  Объект: Красногорский б-р, д.26. В т.ч. НДС (18%) 76271,19</t>
  </si>
  <si>
    <t>02.04.2018 0:00:00</t>
  </si>
  <si>
    <t>Отопление за декабрь 17, договор №09-С/П-15 от 01.09.15, счет №780 от 31.12.17  Объект: Красногорский б-р, д.26. В т.ч. НДС (18%) 212580,18</t>
  </si>
  <si>
    <t>09.04.2018 0:00:00</t>
  </si>
  <si>
    <t>Отопление за декабрь 17, договор №09-С/П-15 от 01.09.15, счет №780 от 31.12.17  Объект: Красногорский б-р, д.36. В т.ч. НДС (18%) 122033,9</t>
  </si>
  <si>
    <t>11.04.2018 0:00:00</t>
  </si>
  <si>
    <t>Отопление за декабрь 17, договор №09-С/П-15 от 01.09.15, счет №780 от 31.12.17  Объект: Красногорский б-р, д.36. В т.ч. НДС (18%) 152546,74</t>
  </si>
  <si>
    <t>Отопление за декабрь 17, договор №09-С/П-15 от 01.09.15, счет №780 от 31.12.17  Объект: Красногорский б-р  д.24. В т.ч. НДС (18%) 440849,79</t>
  </si>
  <si>
    <t>Отопление за январь 18, договор №09-С/П-15 от 01.09.15, счет №5 от 31.01.18  Объект: Красногорский б-р, д.3 . В т.ч. НДС (18%) 24624,4</t>
  </si>
  <si>
    <t>Отопление за январь 18, договор №09-С/П-15 от 01.09.15, счет №5 от 31.01.18  Объект: Красногорский б-р, д.6 . В т.ч. НДС (18%) 105775,8</t>
  </si>
  <si>
    <t>Отопление за январь 18, договор №09-С/П-15 от 01.09.15, счет №5 от 31.01.18  Объект: Красногорский б-р, д.28. В т.ч. НДС (18%) 107483,08</t>
  </si>
  <si>
    <t>17.04.2018 0:00:00</t>
  </si>
  <si>
    <t>Отопление за январь 18, договор №09-С/П-15 от 01.09.15, счет №5 от 31.01.18  Объект: Ильинский б-р, д. 2А . В т.ч. НДС (18%) 302475,26</t>
  </si>
  <si>
    <t>18.04.2018 0:00:00</t>
  </si>
  <si>
    <t>Отопление за январь 18, договор №09-С/П-15 от 01.09.15, счет №5 от 31.01.18  Объект: Красногорский б-р, д.26. В т.ч. НДС (18%) 76271,19</t>
  </si>
  <si>
    <t>20.04.2018 0:00:00</t>
  </si>
  <si>
    <t>Отопление за январь 18, договор №09-С/П-15 от 01.09.15, счет №5 от 31.01.18  Объект: Красногорский б-р, д.26. В т.ч. НДС (18%) 232997,4</t>
  </si>
  <si>
    <t>25.04.2018 0:00:00</t>
  </si>
  <si>
    <t>Отопление за январь 18, договор №09-С/П-15 от 01.09.15, счет №5 от 31.01.18  Объект: Красногорский б-р, д.8. В т.ч. НДС (18%) 175645,39</t>
  </si>
  <si>
    <t>Отопление за январь 18, договор №09-С/П-15 от 01.09.15, счет №5 от 31.01.18  Объект: Павшинский б-р  д.38. В т.ч. НДС (18%) 60406,23</t>
  </si>
  <si>
    <t>27.04.2018 0:00:00</t>
  </si>
  <si>
    <t>Отопление за январь 18, договор №09-С/П-15 от 01.09.15, счет №5 от 31.01.18  Объект: Красногорский б-р, д.48. В т.ч. НДС (18%) 130341,82</t>
  </si>
  <si>
    <t>03.05.2018 0:00:00</t>
  </si>
  <si>
    <t>Отопление за январь 18, договор №09-С/П-15 от 01.09.15, счет №5 от 31.01.18  Объект: Красногорский б-р, д.32. В т.ч. НДС (18%) 111225,01</t>
  </si>
  <si>
    <t>04.05.2018 0:00:00</t>
  </si>
  <si>
    <t>Отопление за январь 18, договор №09-С/П-15 от 01.09.15, счет №5 от 31.01.18  Объект: Красногорский б-р, д.50. В т.ч. НДС (18%) 150969,07</t>
  </si>
  <si>
    <t>07.05.2018 0:00:00</t>
  </si>
  <si>
    <t>Отопление за январь 18, договор №09-С/П-15 от 01.09.15, счет №5 от 31.01.18  Объект: Красногорский б-р, д.10. В т.ч. НДС (18%) 225773,34</t>
  </si>
  <si>
    <t>Отопление за январь 18, договор №09-С/П-15 от 01.09.15, счет №5 от 31.01.18  Объект: Павшинский б-р, д.15. В т.ч. НДС (18%) 55065,56</t>
  </si>
  <si>
    <t>08.05.2018 0:00:00</t>
  </si>
  <si>
    <t>Отопление за январь 18, договор №09-С/П-15 от 01.09.15, счет №5 от 31.01.18  Объект: Павшинский б-р  д.36. В т.ч. НДС (18%) 152862,04</t>
  </si>
  <si>
    <t>10.05.2018 0:00:00</t>
  </si>
  <si>
    <t>Отопление за январь 18, договор №09-С/П-15 от 01.09.15, счет №5 от 31.01.18  Объект: Красногорский б-р, д.14. В т.ч. НДС (18%) 328895,53</t>
  </si>
  <si>
    <t>11.05.2018 0:00:00</t>
  </si>
  <si>
    <t>Отопление за январь 18, договор №09-С/П-15 от 01.09.15, счет №5 от 31.01.18  Объект: Головкина  д.7. В т.ч. НДС (18%) 91662,31</t>
  </si>
  <si>
    <t>Отопление за январь 18, договор №09-С/П-15 от 01.09.15, счет №5 от 31.01.18  Объект: Павшинский б-р  д.34. В т.ч. НДС (18%) 178566,53</t>
  </si>
  <si>
    <t>14.05.2018 0:00:00</t>
  </si>
  <si>
    <t>Отопление за январь 18, договор №09-С/П-15 от 01.09.15, счет №5 от 31.01.18  Объект: Красногорский б-р  д.24. В т.ч. НДС (18%) 84869,6</t>
  </si>
  <si>
    <t>Отопление за январь 18, договор №09-С/П-15 от 01.09.15, счет №5 от 31.01.18  Объект: Красногорский б-р  д.24. В т.ч. НДС (18%) 396610,17</t>
  </si>
  <si>
    <t>16.05.2018 0:00:00</t>
  </si>
  <si>
    <t>Отопление за январь 18, договор №09-С/П-15 от 01.09.15, счет №5 от 31.01.18  Объект: Красногорский б-р, д.18. В т.ч. НДС (18%) 438898,16</t>
  </si>
  <si>
    <t>17.05.2018 0:00:00</t>
  </si>
  <si>
    <t>Отопление за январь 18, договор №09-С/П-15 от 01.09.15, счет №5 от 31.01.18  Объект: Красногорский б-р, д.34. В т.ч. НДС (18%) 99472,37</t>
  </si>
  <si>
    <t>Отопление за январь 18, договор №09-С/П-15 от 01.09.15, счет №5 от 31.01.18  Объект: Красногорский б-р, д.46. В т.ч. НДС (18%) 125544,43</t>
  </si>
  <si>
    <t>21.05.2018 0:00:00</t>
  </si>
  <si>
    <t>Отопление за январь 18, договор №09-С/П-15 от 01.09.15, счет №5 от 31.01.18  Объект: Красногорский б-р, д.36. В т.ч. НДС (18%) 152542,37</t>
  </si>
  <si>
    <t>Отопление за январь 18, договор №09-С/П-15 от 01.09.15, счет №5 от 31.01.18  Объект: Красногорский б-р, д.36. В т.ч. НДС (18%) 162529,78</t>
  </si>
  <si>
    <t>22.05.2018 0:00:00</t>
  </si>
  <si>
    <t>Отопление за январь 18, договор №09-С/П-15 от 01.09.15, счет №5 от 31.01.18  Объект: Красногорский б-р, д.20. В т.ч. НДС (18%) 76271,19</t>
  </si>
  <si>
    <t>Отопление за январь 18, договор №09-С/П-15 от 01.09.15, счет №5 от 31.01.18  Объект: Красногорский б-р, д.20. В т.ч. НДС (18%) 228813,56</t>
  </si>
  <si>
    <t>23.05.2018 0:00:00</t>
  </si>
  <si>
    <t>Отопление за февраль 18, договор №09-С/П-15 от 01.09.15, счет №120 от 28.02.18  Объект: Красногорский б-р, д. 3. В т.ч. НДС (18%) 26361,66</t>
  </si>
  <si>
    <t>Отопление за январь 18, договор №09-С/П-15 от 01.09.15, счет №5 от 31.01.18  Объект: Красногорский б-р, д.20. В т.ч. НДС (18%) 30384,68</t>
  </si>
  <si>
    <t>24.05.2018 0:00:00</t>
  </si>
  <si>
    <t>Отопление за февраль 18, договор №09-С/П-15 от 01.09.15, счет №120 от 28.02.18  Объект: Красногорский б-р, д. 6. В т.ч. НДС (18%) 111702,73</t>
  </si>
  <si>
    <t>25.05.2018 0:00:00</t>
  </si>
  <si>
    <t>Отопление за февраль 18, договор №09-С/П-15 от 01.09.15, счет №120 от 28.02.18  Объект: ул. Головкина, д. 7. В т.ч. НДС (18%) 92637,65</t>
  </si>
  <si>
    <t>Отопление за февраль 18, договор №09-С/П-15 от 01.09.15, счет №120 от 28.02.18  Объект: Павшинский б-р, д. 38. В т.ч. НДС (18%) 66204,46</t>
  </si>
  <si>
    <t>29.05.2018 0:00:00</t>
  </si>
  <si>
    <t>Отопление за февраль 18, договор №09-С/П-15 от 01.09.15, счет №120 от 28.02.18  Объект: Павшинский б-р, д. 15. В т.ч. НДС (18%) 59128,78</t>
  </si>
  <si>
    <t>29.05.2018 10:23:11</t>
  </si>
  <si>
    <t>Отопление за февраль 18, договор №09-С/П-15 от 01.09.15, счет №120 от 28.02.18  Объект: Павшинский б-р, д. 15. В т.ч. НДС (18%) 59 128,78</t>
  </si>
  <si>
    <t>04.06.2018 0:00:00</t>
  </si>
  <si>
    <t>Отопление за февраль 18, договор №09-С/П-15 от 01.09.15, счет №120 от 28.02.18  Объект: Красногорский б-р, д. 34. В т.ч. НДС (18%) 106521,92</t>
  </si>
  <si>
    <t>05.06.2018 0:00:00</t>
  </si>
  <si>
    <t>Отопление за февраль 18, договор №09-С/П-15 от 01.09.15, счет №120 от 28.02.18  Объект: Красногорский б-р, д. 28. В т.ч. НДС (18%) 113087</t>
  </si>
  <si>
    <t>08.06.2018 0:00:00</t>
  </si>
  <si>
    <t>Отопление за февраль 18, договор №09-С/П-15 от 01.09.15, счет №120 от 28.02.18  Объект: Красногорский б-р, д. 32. В т.ч. НДС (18%) 117893,73</t>
  </si>
  <si>
    <t>13.06.2018 0:00:00</t>
  </si>
  <si>
    <t>Отопление за февраль 18, договор №09-С/П-15 от 01.09.15, счет №120 от 28.02.18  Объект: Красногорский б-р, д. 14. В т.ч. НДС (18%) 334036,23</t>
  </si>
  <si>
    <t>15.06.2018 0:00:00</t>
  </si>
  <si>
    <t>Отопление за февраль 18, договор №09-С/П-15 от 01.09.15, счет №120 от 28.02.18  Объект: Красногорский б-р, д. 8. В т.ч. НДС (18%) 180962,38</t>
  </si>
  <si>
    <t>Отопление за февраль 18, договор №09-С/П-15 от 01.09.15, счет №120 от 28.02.18  Объект: Красногорский б-р, д. 10. В т.ч. НДС (18%) 225803,49</t>
  </si>
  <si>
    <t>18.06.2018 0:00:00</t>
  </si>
  <si>
    <t>Отопление за февраль 18, договор №09-С/П-15 от 01.09.15, счет №120 от 28.02.18  Объект: Красногорский б-р, д. 26. В т.ч. НДС (18%) 316581,73</t>
  </si>
  <si>
    <t>19.06.2018 0:00:00</t>
  </si>
  <si>
    <t>Отопление за февраль 18, договор №09-С/П-15 от 01.09.15, счет №120 от 28.02.18  Объект: Павшинский б-р, д. 34. В т.ч. НДС (18%) 194841,18</t>
  </si>
  <si>
    <t>20.06.2018 0:00:00</t>
  </si>
  <si>
    <t>Отопление за февраль 18, договор №09-С/П-15 от 01.09.15, счет №120 от 28.02.18  Объект: Красногорский б-р, д. 50. В т.ч. НДС (18%) 158696,54</t>
  </si>
  <si>
    <t>22.06.2018 0:00:00</t>
  </si>
  <si>
    <t>Отопление за февраль 18, договор №09-С/П-15 от 01.09.15, счет №120 от 28.02.18  Объект: Красногорский б-р, д. 46. В т.ч. НДС (18%) 100174,3</t>
  </si>
  <si>
    <t>25.06.2018 0:00:00</t>
  </si>
  <si>
    <t>Отопление за февраль 18, договор №09-С/П-15 от 01.09.15, счет №120 от 28.02.18  Объект: Красногорский б-р, д. 46. В т.ч. НДС (18%) 32033,9</t>
  </si>
  <si>
    <t>29.06.2018 0:00:00</t>
  </si>
  <si>
    <t>Отопление за февраль 18, договор №09-С/П-15 от 01.09.15, счет №120 от 28.02.18  Объект: Красногорский б-р, д. 24. В т.ч. НДС (18%) 53242,66</t>
  </si>
  <si>
    <t>Отопление за февраль 18, договор №09-С/П-15 от 01.09.15, счет №120 от 28.02.18  Объект: Красногорский б-р, д. 48. В т.ч. НДС (18%) 46525,42</t>
  </si>
  <si>
    <t>Отопление за февраль 18, договор №09-С/П-15 от 01.09.15, счет №120 от 28.02.18  Объект: Красногорский б-р, д. 24. В т.ч. НДС (18%) 19372,88</t>
  </si>
  <si>
    <t>02.07.2018 0:00:00</t>
  </si>
  <si>
    <t>Отопление за февраль 18, договор №09-С/П-15 от 01.09.15, счет №120 от 28.02.18  Объект: Красногорский б-р, д. 48. В т.ч. НДС (18%) 89229,56</t>
  </si>
  <si>
    <t>Отопление за март 18, договор №09-С/П-15 от 01.09.15, счет №225 от 31.03.18  Объект: Красногорский б-р, д. 3 . В т.ч. НДС (18%) 24130,81</t>
  </si>
  <si>
    <t>Отопление за март 18, договор №09-С/П-15 от 01.09.15, счет №225 от 31.03.18  Объект: Красногорский б-р, д. 14. В т.ч. НДС (18%) 102839,01</t>
  </si>
  <si>
    <t>Отопление за март 18, договор №09-С/П-15 от 01.09.15, счет №225 от 31.03.18  Объект: Павшинский б-р, д. 15. В т.ч. НДС (18%) 59386,11</t>
  </si>
  <si>
    <t>03.07.2018 0:00:00</t>
  </si>
  <si>
    <t>Отопление за февраль 18, договор №09-С/П-15 от 01.09.15, счет №120 от 28.02.18  Объект: Павшинский б-р, д. 36. В т.ч. НДС (18%) 160963,29</t>
  </si>
  <si>
    <t>05.07.2018 0:00:00</t>
  </si>
  <si>
    <t>Отопление за март 18, договор №09-С/П-15 от 01.09.15, счет №225 от 31.03.18  Объект: Красногорский б-р, д. 50. В т.ч. НДС (18%) 154493,84</t>
  </si>
  <si>
    <t>06.07.2018 0:00:00</t>
  </si>
  <si>
    <t>Отопление за март 18, договор №09-С/П-15 от 01.09.15, счет №225 от 31.03.18  Объект: Красногорский б-р, д. 28. В т.ч. НДС (18%) 71694,92</t>
  </si>
  <si>
    <t>09.07.2018 0:00:00</t>
  </si>
  <si>
    <t>Отопление за март 18, договор №09-С/П-15 от 01.09.15, счет №225 от 31.03.18  Объект: Красногорский б-р, д. 6. В т.ч. НДС (18%) 107624,27</t>
  </si>
  <si>
    <t>Отопление за март 18, договор №09-С/П-15 от 01.09.15, счет №225 от 31.03.18  Объект: Красногорский б-р, д. 28. В т.ч. НДС (18%) 35797,54</t>
  </si>
  <si>
    <t>Отопление за апрель 18, договор №09-С/П-15 от 01.09.15, счет №359 от 30.04.18  Объект: Красногорский б-р, д. 3 . В т.ч. НДС (18%) 7608,22</t>
  </si>
  <si>
    <t>10.07.2018 0:00:00</t>
  </si>
  <si>
    <t>Отопление за февраль 18, договор №09-С/П-15 от 01.09.15, счет №120 от 28.02.18  Объект: Красногорский б-р, д. 36. В т.ч. НДС (18%) 170655,69</t>
  </si>
  <si>
    <t>11.07.2018 0:00:00</t>
  </si>
  <si>
    <t>Отопление за февраль 18, договор №09-С/П-15 от 01.09.15, счет №120 от 28.02.18  Объект: Красногорский б-р, д. 36. В т.ч. НДС (18%) 152542,37</t>
  </si>
  <si>
    <t>13.07.2018 0:00:00</t>
  </si>
  <si>
    <t>Отопление за апрель 18, договор №09-С/П-15 от 01.09.15, счет №359 от 30.04.18  Объект: Ильинский б-р, д. 2А . В т.ч. НДС (18%) 108505,69</t>
  </si>
  <si>
    <t>Отопление за апрель 18, договор №09-С/П-15 от 01.09.15, счет №359 от 30.04.18  Объект: Красногорский б-р, д. 6. В т.ч. НДС (18%) 53958,73</t>
  </si>
  <si>
    <t>16.07.2018 0:00:00</t>
  </si>
  <si>
    <t>Отопление за март 18, договор №09-С/П-15 от 01.09.15, счет №225 от 31.03.18  Объект: Павшинский б-р, д. 38. В т.ч. НДС (18%) 59046,82</t>
  </si>
  <si>
    <t>17.07.2018 0:00:00</t>
  </si>
  <si>
    <t>Отопление за апрель 18, договор №09-С/П-15 от 01.09.15, счет №359 от 30.04.18  Объект: Красногорский б-р, д. 8. В т.ч. НДС (18%) 96357,55</t>
  </si>
  <si>
    <t>18.07.2018 0:00:00</t>
  </si>
  <si>
    <t>Отопление за март 18, договор №09-С/П-15 от 01.09.15, счет №225 от 31.03.18  Объект: Павшинский б-р, д. 36. В т.ч. НДС (18%) 156808,95</t>
  </si>
  <si>
    <t>20.07.2018 0:00:00</t>
  </si>
  <si>
    <t>Отопление за апрель 18, договор №09-С/П-15 от 01.09.15, счет №359 от 30.04.18  Объект: Павшинский б-р, д. 15. В т.ч. НДС (18%) 29420,68</t>
  </si>
  <si>
    <t>Отопление за апрель 18, договор №09-С/П-15 от 01.09.15, счет №359 от 30.04.18  Объект: Павшинский б-р, д. 38. В т.ч. НДС (18%) 28686,72</t>
  </si>
  <si>
    <t>25.07.2018 0:00:00</t>
  </si>
  <si>
    <t>Отопление за апрель 18, договор №09-С/П-15 от 01.09.15, счет №359 от 30.04.18  Объект: Красногорский б-р, д. 10. В т.ч. НДС (18%) 120387,87</t>
  </si>
  <si>
    <t>26.07.2018 0:00:00</t>
  </si>
  <si>
    <t>Отопление за март 18, договор №09-С/П-15 от 01.09.15, счет №225 от 31.03.18  Объект: Красногорский б-р, д. 18. В т.ч. НДС (18%) 472119,54</t>
  </si>
  <si>
    <t>Отопление за апрель 18, договор №09-С/П-15 от 01.09.15, счет №359 от 30.04.18  Объект: Красногорский б-р, д. 36. В т.ч. НДС (18%) 155946,78</t>
  </si>
  <si>
    <t>30.07.2018 0:00:00</t>
  </si>
  <si>
    <t>Отопление за март 18, договор №09-С/П-15 от 01.09.15, счет №225 от 31.03.18  Объект: Красногорский б-р, д. 24. В т.ч. НДС (18%) 492081,08</t>
  </si>
  <si>
    <t>Отопление за апрель 18, договор №09-С/П-15 от 01.09.15, счет №359 от 30.04.18  Объект: Красногорский б-р, д. 18. В т.ч. НДС (18%) 299456,84</t>
  </si>
  <si>
    <t>08.08.2018 0:00:00</t>
  </si>
  <si>
    <t>Отопление за март 18, договор №09-С/П-15 от 01.09.15, счет №225 от 31.03.18  Объект: ул. Им. Головкина, д. 7. В т.ч. НДС (18%) 91967,06</t>
  </si>
  <si>
    <t>Отопление и затраты к возмещ.по заполн.сет.водой за май 18, договор №09-С/П-15 от 01.09.15, счет №470 от 31.05.18  Объект: Павшинский б-р, д. 38. В т.ч. НДС (18%) 6614,94</t>
  </si>
  <si>
    <t>10.08.2018 0:00:00</t>
  </si>
  <si>
    <t>Отопление за март 18, договор №09-С/П-15 от 01.09.15, счет №225 от 31.03.18  Объект: Красногорский б-р, д. 20. В т.ч. НДС (18%) 342239,01</t>
  </si>
  <si>
    <t>13.08.2018 0:00:00</t>
  </si>
  <si>
    <t>Отопление за март 18, договор №09-С/П-15 от 01.09.15, счет №225 от 31.03.18  Объект: Красногорский б-р, д. 32. В т.ч. НДС (18%) 113865,72</t>
  </si>
  <si>
    <t>Отопление за март 18, договор №09-С/П-15 от 01.09.15, счет №225 от 31.03.18  Объект: Красногорский б-р, д. 34. В т.ч. НДС (18%) 96128,2</t>
  </si>
  <si>
    <t>15.08.2018 0:00:00</t>
  </si>
  <si>
    <t>Отопление за март 18, договор №09-С/П-15 от 01.09.15, счет №225 от 31.03.18  Объект: Красногорский б-р, д. 26. В т.ч. НДС (18%) 314942,05</t>
  </si>
  <si>
    <t>Отопление за апрель 18, договор №09-С/П-15 от 01.09.15, счет №359 от 30.04.18  Объект: Красногорский б-р, д. 28. В т.ч. НДС (18%) 53032,3</t>
  </si>
  <si>
    <t>17.08.2018 0:00:00</t>
  </si>
  <si>
    <t>Отопление за март 18, договор №09-С/П-15 от 01.09.15, счет №225 от 31.03.18  Объект: Красногорский б-р, д. 46. В т.ч. НДС (18%) 128553,98</t>
  </si>
  <si>
    <t>22.08.2018 0:00:00</t>
  </si>
  <si>
    <t>Отопление за апрель 18, договор №09-С/П-15 от 01.09.15, счет №359 от 30.04.18  Объект: Красногорский б-р, д. 32. В т.ч. НДС (18%) 57067,42</t>
  </si>
  <si>
    <t>Отопление за апрель 18, договор №09-С/П-15 от 01.09.15, счет №359 от 30.04.18  Объект: Красногорский б-р, д. 34. В т.ч. НДС (18%) 49652,39</t>
  </si>
  <si>
    <t>23.08.2018 0:00:00</t>
  </si>
  <si>
    <t>Отопление за апрель 18, договор №09-С/П-15 от 01.09.15, счет №359 от 30.04.18  Объект: Красногорский б-р, д. 46. В т.ч. НДС (18%) 73041,56</t>
  </si>
  <si>
    <t>Отопление и затраты к возмещ.по заполн.сет.водой за май 18, договор №09-С/П-15 от 01.09.15, счет №470 от 31.05.18  Объект: Павшинский б-р, д. 15. В т.ч. НДС (18%) 12688,68</t>
  </si>
  <si>
    <t>24.08.2018 0:00:00</t>
  </si>
  <si>
    <t>Отопление за апрель 18, договор №09-С/П-15 от 01.09.15, счет №359 от 30.04.18  Объект: ул. Головкина б-р, д. 7. В т.ч. НДС (18%) 51043,93</t>
  </si>
  <si>
    <t>Отопление и затраты к возмещ.по заполн.сет.водой за июнь 18, договор №09-С/П-15 от 01.09.15, счет №554 от 30.06.18  Объект: Красногорский б-р, д. 6. В т.ч. НДС (18%) 11474,85</t>
  </si>
  <si>
    <t>27.08.2018 0:00:00</t>
  </si>
  <si>
    <t>Отопление и затраты к возмещ.по заполн.сет.водой за май 18, договор №09-С/П-15 от 01.09.15, счет №470 от 31.05.18  Объект: Красногорский б-р, д. 34. В т.ч. НДС (18%) 18507,24</t>
  </si>
  <si>
    <t>Отопление и затраты к возмещ.по заполн.сет.водой за май 18, договор №09-С/П-15 от 01.09.15, счет №470 от 31.05.18  Объект: Павшинский б-р, д. 36. В т.ч. НДС (18%) 23173,03</t>
  </si>
  <si>
    <t>Отопление и затраты к возмещ.по заполн.сет.водой за май 18, договор №09-С/П-15 от 01.09.15, счет №470 от 31.05.18  Объект: ул. Головкина, д. 7. В т.ч. НДС (18%) 15372,28</t>
  </si>
  <si>
    <t>31.08.2018 0:00:00</t>
  </si>
  <si>
    <t>Отопление за март 18, договор №09-С/П-15 от 01.09.15, счет №225 от 31.03.18  Объект: Красногорский б-р, д. 48. В т.ч. НДС (18%) 132343,81</t>
  </si>
  <si>
    <t>03.09.2018 0:00:00</t>
  </si>
  <si>
    <t>Отопление за март 18, договор №09-С/П-15 от 01.09.15, счет №225 от 31.03.18  Объект: Павшинский б-р, д. 34. В т.ч. НДС (18%) 161705,41</t>
  </si>
  <si>
    <t>07.09.2018 0:00:00</t>
  </si>
  <si>
    <t>Отопление за март 18, договор №09-С/П-15 от 01.09.15, счет №225 от 31.03.18  Объект: Павшинский б-р, д. 34. В т.ч. НДС (18%) 35084,75</t>
  </si>
  <si>
    <t>Отопление и затраты к возмещ.по заполн.сет.водой за май 18, договор №09-С/П-15 от 01.09.15, счет №470 от 31.05.18  Объект: Красногорский б-р, д. 8. В т.ч. НДС (18%) 35408,11</t>
  </si>
  <si>
    <t>10.09.2018 0:00:00</t>
  </si>
  <si>
    <t>Отопление за март 18, договор №09-С/П-15 от 01.09.15, счет №225 от 31.03.18  Объект: Красногорский б-р, д. 36. В т.ч. НДС (18%) 310288,48</t>
  </si>
  <si>
    <t>Отопление за апрель 18, договор №09-С/П-15 от 01.09.15, счет №359 от 30.04.18  Объект: Красногорский б-р, д. 48. В т.ч. НДС (18%) 71695,9</t>
  </si>
  <si>
    <t>Отопление за апрель 18, договор №09-С/П-15 от 01.09.15, счет №359 от 30.04.18  Объект: Красногорский б-р, д. 50. В т.ч. НДС (18%) 80651,34</t>
  </si>
  <si>
    <t>Отопление и затраты к возмещ.по заполн.сет.водой за май 18, договор №09-С/П-15 от 01.09.15, счет №470 от 31.05.18  Объект: Красногорский б-р, д. 6. В т.ч. НДС (18%) 21024,21</t>
  </si>
  <si>
    <t>13.09.2018 0:00:00</t>
  </si>
  <si>
    <t>Отопление за апрель 18, договор №09-С/П-15 от 01.09.15, счет №359 от 30.04.18  Объект: Красногорский б-р, д. 14. В т.ч. НДС (18%) 13099,73</t>
  </si>
  <si>
    <t>Отопление за апрель 18, договор №09-С/П-15 от 01.09.15, счет №359 от 30.04.18  Объект: Красногорский б-р, д. 20. В т.ч. НДС (18%) 194576,05</t>
  </si>
  <si>
    <t>Отопление за апрель 18, договор №09-С/П-15 от 01.09.15, счет №359 от 30.04.18  Объект: Красногорский б-р, д. 14. В т.ч. НДС (18%) 181525,42</t>
  </si>
  <si>
    <t>17.09.2018 0:00:00</t>
  </si>
  <si>
    <t>Отопление за апрель 18, договор №09-С/П-15 от 01.09.15, счет №359 от 30.04.18  Объект: Красногорский б-р, д. 24. В т.ч. НДС (18%) 271187,5</t>
  </si>
  <si>
    <t>19.09.2018 0:00:00</t>
  </si>
  <si>
    <t>Отопление за апрель 18, договор №09-С/П-15 от 01.09.15, счет №359 от 30.04.18  Объект: Павшинский б-р, д. 34. В т.ч. НДС (18%) 102151,18</t>
  </si>
  <si>
    <t>24.09.2018 0:00:00</t>
  </si>
  <si>
    <t>Отопление за апрель 18, договор №09-С/П-15 от 01.09.15, счет №359 от 30.04.18  Объект: Павшинский б-р, д. 36. В т.ч. НДС (18%) 82910,08</t>
  </si>
  <si>
    <t>26.09.2018 0:00:00</t>
  </si>
  <si>
    <t>Отопление и затраты к возмещ.по заполн.сет.водой за май 18, договор №09-С/П-15 от 01.09.15, счет №470 от 31.05.18  Объект: Красногорский б-р, д. 10. В т.ч. НДС (18%) 43338,16</t>
  </si>
  <si>
    <t>01.10.2018 0:00:00</t>
  </si>
  <si>
    <t>Отопление и затраты к возмещ.по заполн.сет.водой за май 18, договор №09-С/П-15 от 01.09.15, счет №470 от 31.05.18  Объект: Красногорский б-р, д. 36. В т.ч. НДС (18%) 56742,72</t>
  </si>
  <si>
    <t>02.10.2018 0:00:00</t>
  </si>
  <si>
    <t>Отопление за апрель 18, договор №09-С/П-15 от 01.09.15, счет №359 от 30.04.18  Объект: Красногорский б-р, д. 26. В т.ч. НДС (18%) 192124,58</t>
  </si>
  <si>
    <t>03.10.2018 0:00:00</t>
  </si>
  <si>
    <t>Отопление и затраты к возмещ.по заполн.сет.водой за май 18, договор №09-С/П-15 от 01.09.15, счет №470 от 31.05.18  Объект: Красногорский б-р, д. 28. В т.ч. НДС (18%) 19628,07</t>
  </si>
  <si>
    <t>05.10.2018 0:00:00</t>
  </si>
  <si>
    <t>Отопление и затраты к возмещ.по заполн.сет.водой за май 18, договор №09-С/П-15 от 01.09.15, счет №470 от 31.05.18  Объект: Красногорский б-р, д. 18. В т.ч. НДС (18%) 83652,59</t>
  </si>
  <si>
    <t>08.10.2018 0:00:00</t>
  </si>
  <si>
    <t>Отопление и затраты к возмещ.по заполн.сет.водой за май 18, договор №09-С/П-15 от 01.09.15, счет №470 от 31.05.18  Объект: Красногорский б-р, д. 14. В т.ч. НДС (18%) 55990,59</t>
  </si>
  <si>
    <t>Отопление и затраты к возмещ.по заполн.сет.водой за май 18, договор №09-С/П-15 от 01.09.15, счет №470 от 31.05.18  Объект: Красногорский б-р, д. 20. В т.ч. НДС (18%) 73475,15</t>
  </si>
  <si>
    <t>Отопление и затраты к возмещ.по заполн.сет.водой за май 18, договор №09-С/П-15 от 01.09.15, счет №470 от 31.05.18  Объект: Красногорский б-р, д. 24. В т.ч. НДС (18%) 98875,59</t>
  </si>
  <si>
    <t>Отопление и затраты к возмещ.по заполн.сет.водой за май 18, договор №09-С/П-15 от 01.09.15, счет №470 от 31.05.18  Объект: Павшинский б-р, д. 34. В т.ч. НДС (18%) 24006,6</t>
  </si>
  <si>
    <t>Отопление и затраты к возмещ.по заполн.сет.водой за июнь 18, договор №09-С/П-15 от 01.09.15, счет №554 от 30.06.18  Объект: Павшинский б-р, д. 15. В т.ч. НДС (18%) 7013,51</t>
  </si>
  <si>
    <t>10.10.2018 0:00:00</t>
  </si>
  <si>
    <t>Отопление и затраты к возмещ.по заполн.сет.водой за май 18, договор №09-С/П-15 от 01.09.15, счет №470 от 31.05.18  Объект: Красногорский б-р, д. 26. В т.ч. НДС (18%) 60902,81</t>
  </si>
  <si>
    <t>Отопление и затраты к возмещ.по заполн.сет.водой за май 18, договор №09-С/П-15 от 01.09.15, счет №470 от 31.05.18  Объект: Красногорский б-р, д. 50. В т.ч. НДС (18%) 28687,59</t>
  </si>
  <si>
    <t>Отопление и затраты к возмещ.по заполн.сет.водой за июнь 18, договор №09-С/П-15 от 01.09.15, счет №554 от 30.06.18  Объект: Красногорский б-р, д. 46. В т.ч. НДС (18%) 13245,46</t>
  </si>
  <si>
    <t>Отопление и затраты к возмещ.по заполн.сет.водой за июнь 18, договор №09-С/П-15 от 01.09.15, счет №554 от 30.06.18  Объект: Павшинский б-р, д. 38. В т.ч. НДС (18%) 3765,75</t>
  </si>
  <si>
    <t>Отопление и затраты к возмещ.по заполн.сет.водой за май 18, договор №09-С/П-15 от 01.09.15, счет №470 от 31.05.18  Объект: Красногорский б-р, д. 32. В т.ч. НДС (18%) 20898,89</t>
  </si>
  <si>
    <t>Отопление и затраты к возмещ.по заполн.сет.водой за май 18, договор №09-С/П-15 от 01.09.15, счет №470 от 31.05.18  Объект: Красногорский б-р, д. 46. В т.ч. НДС (18%) 24400</t>
  </si>
  <si>
    <t>Отопление и затраты к возмещ.по заполн.сет.водой за май 18, договор №09-С/П-15 от 01.09.15, счет №470 от 31.05.18  Объект: Красногорский б-р, д. 48. В т.ч. НДС (18%) 24515,89</t>
  </si>
  <si>
    <t>12.10.2018 0:00:00</t>
  </si>
  <si>
    <t>Отопление и затраты к возмещ.по заполн.сет.водой за июнь 18, договор №09-С/П-15 от 01.09.15, счет №554 от 30.06.18  Объект: Красногорский б-р, д. 8. В т.ч. НДС (18%) 18744,67</t>
  </si>
  <si>
    <t>Отопление и затраты к возмещ.по заполн.сет.водой за июнь 18, договор №09-С/П-15 от 01.09.15, счет №554 от 30.06.18  Объект: Красногорский б-р, д. 10. В т.ч. НДС (18%) 22813,74</t>
  </si>
  <si>
    <t>Отопление и затраты к возмещ.по заполн.сет.водой за июнь 18, договор №09-С/П-15 от 01.09.15, счет №554 от 30.06.18  Объект: Красногорский б-р, д. 14. В т.ч. НДС (18%) 31356,05</t>
  </si>
  <si>
    <t>Отопление и затраты к возмещ.по заполн.сет.водой за июнь 18, договор №09-С/П-15 от 01.09.15, счет №554 от 30.06.18  Объект: Красногорский б-р, д. 18. В т.ч. НДС (18%) 46328,86</t>
  </si>
  <si>
    <t>Отопление и затраты к возмещ.по заполн.сет.водой за июнь 18, договор №09-С/П-15 от 01.09.15, счет №554 от 30.06.18  Объект: Красногорский б-р, д. 20. В т.ч. НДС (18%) 41781,06</t>
  </si>
  <si>
    <t>Отопление и затраты к возмещ.по заполн.сет.водой за июнь 18, договор №09-С/П-15 от 01.09.15, счет №554 от 30.06.18  Объект: Красногорский б-р, д. 24. В т.ч. НДС (18%) 54961,54</t>
  </si>
  <si>
    <t>15.10.2018 0:00:00</t>
  </si>
  <si>
    <t>Отопление и затраты к возмещ.по заполн.сет.водой за июнь 18, договор №09-С/П-15 от 01.09.15, счет №554 от 30.06.18  Объект: Красногорский б-р, д. 26. В т.ч. НДС (18%) 33401</t>
  </si>
  <si>
    <t>Отопление и затраты к возмещ.по заполн.сет.водой за июнь 18, договор №09-С/П-15 от 01.09.15, счет №554 от 30.06.18  Объект: Красногорский б-р, д. 28. В т.ч. НДС (18%) 11250,04</t>
  </si>
  <si>
    <t>Отопление и затраты к возмещ.по заполн.сет.водой за июнь 18, договор №09-С/П-15 от 01.09.15, счет №554 от 30.06.18  Объект: Красногорский б-р, д. 32. В т.ч. НДС (18%) 11567,06</t>
  </si>
  <si>
    <t>Отопление и затраты к возмещ.по заполн.сет.водой за июнь 18, договор №09-С/П-15 от 01.09.15, счет №554 от 30.06.18  Объект: Красногорский б-р, д. 34. В т.ч. НДС (18%) 10430,66</t>
  </si>
  <si>
    <t>Отопление и затраты к возмещ.по заполн.сет.водой за июнь 18, договор №09-С/П-15 от 01.09.15, счет №554 от 30.06.18  Объект: Красногорский б-р, д. 36. В т.ч. НДС (18%) 30622,21</t>
  </si>
  <si>
    <t>Отопление и затраты к возмещ.по заполн.сет.водой за июнь 18, договор №09-С/П-15 от 01.09.15, счет №554 от 30.06.18  Объект: Красногорский б-р, д. 48. В т.ч. НДС (18%) 13227,98</t>
  </si>
  <si>
    <t>Отопление и затраты к возмещ.по заполн.сет.водой за июнь 18, договор №09-С/П-15 от 01.09.15, счет №554 от 30.06.18  Объект: Красногорский б-р, д. 50. В т.ч. НДС (18%) 15607,52</t>
  </si>
  <si>
    <t>Отопление и затраты к возмещ.по заполн.сет.водой за июнь 18, договор №09-С/П-15 от 01.09.15, счет №554 от 30.06.18  Объект: Павшинский б-р, д. 34. В т.ч. НДС (18%) 12850,83</t>
  </si>
  <si>
    <t>Отопление и затраты к возмещ.по заполн.сет.водой за июнь 18, договор №09-С/П-15 от 01.09.15, счет №554 от 30.06.18  Объект: Павшинский б-р, д. 36. В т.ч. НДС (18%) 12953,2</t>
  </si>
  <si>
    <t>Отопление и затраты к возмещ.по заполн.сет.водой за июнь 18, договор №09-С/П-15 от 01.09.15, счет №554 от 30.06.18  Объект: ул. Головкина, д. 7. В т.ч. НДС (18%) 8356,39</t>
  </si>
  <si>
    <t>17.10.2018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</si>
  <si>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6. В т.ч. НДС (18%) 18343,57</t>
  </si>
  <si>
    <t>Отопление и затраты к возмещ.по заполн.сет.водой за август 18, договор №09-С/П-15 от 01.09.15, счет №747 от 31.08.18  Объект: Красногорский б-р, д. 8. В т.ч. НДС (18%) 28425,24</t>
  </si>
  <si>
    <t>Отопление и затраты к возмещ.по заполн.сет.водой за август 18, договор №09-С/П-15 от 01.09.15, счет №747 от 31.08.18  Объект: Красногорский б-р, д. 10. В т.ч. НДС (18%) 35541,79</t>
  </si>
  <si>
    <t>Отопление и затраты к возмещ.по заполн.сет.водой за август 18, договор №09-С/П-15 от 01.09.15, счет №747 от 31.08.18  Объект: Красногорский б-р, д. 14. В т.ч. НДС (18%) 51614,22</t>
  </si>
  <si>
    <t>Отопление и затраты к возмещ.по заполн.сет.водой за август 18, договор №09-С/П-15 от 01.09.15, счет №747 от 31.08.18  Объект: Красногорский б-р, д. 18. В т.ч. НДС (18%) 77510,66</t>
  </si>
  <si>
    <t>19.10.2018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</si>
  <si>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20. В т.ч. НДС (18%) 69750,9</t>
  </si>
  <si>
    <t>Отопление и затраты к возмещ.по заполн.сет.водой за август 18, договор №09-С/П-15 от 01.09.15, счет №747 от 31.08.18  Объект: Красногорский б-р, д. 24. В т.ч. НДС (18%) 86460,92</t>
  </si>
  <si>
    <t>Отопление и затраты к возмещ.по заполн.сет.водой за август 18, договор №09-С/П-15 от 01.09.15, счет №747 от 31.08.18  Объект: Красногорский б-р, д. 26. В т.ч. НДС (18%) 51399,95</t>
  </si>
  <si>
    <t>22.10.2018 0:00:00</t>
  </si>
  <si>
    <t>Отопление и затраты к возмещ.по заполн.сет.водой за август 18, договор №09-С/П-15 от 01.09.15, счет №747 от 31.08.18  Объект: Красногорский б-р, д. 28. В т.ч. НДС (18%) 16132,45</t>
  </si>
  <si>
    <t>Отопление и затраты к возмещ.по заполн.сет.водой за август 18, договор №09-С/П-15 от 01.09.15, счет №747 от 31.08.18  Объект: Красногорский б-р, д. 32. В т.ч. НДС (18%) 17984,68</t>
  </si>
  <si>
    <t>Отопление и затраты к возмещ.по заполн.сет.водой за август 18, договор №09-С/П-15 от 01.09.15, счет №747 от 31.08.18  Объект: Павшинский б-р, д.38. В т.ч. НДС (18%) 6246,49</t>
  </si>
  <si>
    <t>24.10.2018 0:00:00</t>
  </si>
  <si>
    <t>Отопление и затраты к возмещ.по заполн.сет.водой за июль 18, договор №09-С/П-15 от 01.09.15, счет №657 от 31.07.18  Объект: Красногорский б-р, д. 34. В т.ч. НДС (18%) 15509,59</t>
  </si>
  <si>
    <t>Отопление и затраты к возмещ.по заполн.сет.водой за июль 18, договор №09-С/П-15 от 01.09.15, счет №657 от 31.07.18  Объект: Павшинский б-р, д. 38. В т.ч. НДС (18%) 5951,41</t>
  </si>
  <si>
    <t>Отопление и затраты к возмещ.по заполн.сет.водой за июль 18, договор №09-С/П-15 от 01.09.15, счет №657 от 31.07.18  Объект: ул. Головкина, д. 7. В т.ч. НДС (18%) 13003,78</t>
  </si>
  <si>
    <t>Отопление и затраты к возмещ.по заполн.сет.водой за июль 18, договор №09-С/П-15 от 01.09.15, счет №657 от 31.07.18  Объект: Павшинский б-р, д. 15. В т.ч. НДС (18%) 10267,25</t>
  </si>
  <si>
    <t>26.10.2018 0:00:00</t>
  </si>
  <si>
    <t>Отопление и затраты к возмещ.по заполн.сет.водой за июль 18, договор №09-С/П-15 от 01.09.15, счет №657 от 31.07.18  Объект: Красногорский б-р, д. 24. В т.ч. НДС (18%) 85413,05</t>
  </si>
  <si>
    <t>Отопление и затраты к возмещ.по заполн.сет.водой за август 18, договор №09-С/П-15 от 01.09.15, счет №747 от 31.08.18  Объект: Красногорский б-р, д. 34. В т.ч. НДС (18%) 16099,69</t>
  </si>
  <si>
    <t>29.10.2018 0:00:00</t>
  </si>
  <si>
    <t>Отопление и затраты к возмещ.по заполн.сет.водой за июль 18, договор №09-С/П-15 от 01.09.15, счет №657 от 31.07.18  Объект: Красногорский б-р, д. 6. В т.ч. НДС (18%) 17557,02</t>
  </si>
  <si>
    <t>Отопление и затраты к возмещ.по заполн.сет.водой за июль 18, договор №09-С/П-15 от 01.09.15, счет №657 от 31.07.18  Объект: Красногорский б-р, д. 8. В т.ч. НДС (18%) 30304,37</t>
  </si>
  <si>
    <t>Отопление и затраты к возмещ.по заполн.сет.водой за июль 18, договор №09-С/П-15 от 01.09.15, счет №657 от 31.07.18  Объект: Красногорский б-р, д. 10. В т.ч. НДС (18%) 34770,43</t>
  </si>
  <si>
    <t>31.10.2018 0:00:00</t>
  </si>
  <si>
    <t>Отопление и затраты к возмещ.по заполн.сет.водой за июль 18, договор №09-С/П-15 от 01.09.15, счет №657 от 31.07.18  Объект: Красногорский б-р, д. 18. В т.ч. НДС (18%) 71832,06</t>
  </si>
  <si>
    <t>Отопление и затраты к возмещ.по заполн.сет.водой за июль 18, договор №09-С/П-15 от 01.09.15, счет №657 от 31.07.18  Объект: Павшинский б-р, д. 34. В т.ч. НДС (18%) 19286,36</t>
  </si>
  <si>
    <t>02.11.2018 0:00:00</t>
  </si>
  <si>
    <t>Отопление и затраты к возмещ.по заполн.сет.водой за июль 18, договор №09-С/П-15 от 01.09.15, счет №657 от 31.07.18  Объект: Красногорский б-р, д. 20. В т.ч. НДС (18%) 67252,8</t>
  </si>
  <si>
    <t>Отопление и затраты к возмещ.по заполн.сет.водой за июль 18, договор №09-С/П-15 от 01.09.15, счет №657 от 31.07.18  Объект: Красногорский б-р, д. 28. В т.ч. НДС (18%) 15883,78</t>
  </si>
  <si>
    <t>07.11.2018 0:00:00</t>
  </si>
  <si>
    <t>Отопление и затраты к возмещ.по заполн.сет.водой за июль 18, договор №09-С/П-15 от 01.09.15, счет №657 от 31.07.18  Объект: Красногорский б-р, д. 26. В т.ч. НДС (18%) 49238,91</t>
  </si>
  <si>
    <t>Отопление и затраты к возмещ.по заполн.сет.водой за июль 18, договор №09-С/П-15 от 01.09.15, счет №657 от 31.07.18  Объект: Красногорский б-р, д. 36. В т.ч. НДС (18%) 46259,48</t>
  </si>
  <si>
    <t>Отопление и затраты к возмещ.по заполн.сет.водой за июль 18, договор №09-С/П-15 от 01.09.15, счет №657 от 31.07.18  Объект: Красногорский б-р, д. 46. В т.ч. НДС (18%) 20022,73</t>
  </si>
  <si>
    <t>Отопление и затраты к возмещ.по заполн.сет.водой за июль 18, договор №09-С/П-15 от 01.09.15, счет №657 от 31.07.18  Объект: Красногорский б-р, д. 50. В т.ч. НДС (18%) 24001,91</t>
  </si>
  <si>
    <t>Отопление и затраты к возмещ.по заполн.сет.водой за август 18, договор №09-С/П-15 от 01.09.15, счет №747 от 31.08.18  Объект: Красногорский б-р, д. 50. В т.ч. НДС (18%) 24562,93</t>
  </si>
  <si>
    <t>Отопление и затраты к возмещ.по заполн.сет.водой за август 18, договор №09-С/П-15 от 01.09.15, счет №747 от 31.08.18  Объект: Павшинский б-р, д.15. В т.ч. НДС (18%) 10887,33</t>
  </si>
  <si>
    <t>Отопление и затраты к возмещ.по заполн.сет.водой за июль 18, договор №09-С/П-15 от 01.09.15, счет №657 от 31.07.18  Объект: Красногорский б-р, д. 14. В т.ч. НДС (18%) 43722,42</t>
  </si>
  <si>
    <t>Отопление и затраты к возмещ.по заполн.сет.водой за июль 18, договор №09-С/П-15 от 01.09.15, счет №657 от 31.07.18  Объект: Красногорский б-р, д. 32. В т.ч. НДС (18%) 17310,13</t>
  </si>
  <si>
    <t>Отопление и затраты к возмещ.по заполн.сет.водой за июль 18, договор №09-С/П-15 от 01.09.15, счет №657 от 31.07.18  Объект: Красногорский б-р, д. 48. В т.ч. НДС (18%) 19976,29</t>
  </si>
  <si>
    <t>Отопление и затраты к возмещ.по заполн.сет.водой за июль 18, договор №09-С/П-15 от 01.09.15, счет №657 от 31.07.18  Объект: Павшинский б-р, д. 36. В т.ч. НДС (18%) 19440,49</t>
  </si>
  <si>
    <t>09.11.2018 0:00:00</t>
  </si>
  <si>
    <t>Отопление и затраты к возмещ.по заполн.сет.водой за август 18, договор №09-С/П-15 от 01.09.15, счет №747 от 31.08.18  Объект: Красногорский б-р, д. 36. В т.ч. НДС (18%) 47998,01</t>
  </si>
  <si>
    <t>Отопление и затраты к возмещ.по заполн.сет.водой за август 18, договор №09-С/П-15 от 01.09.15, счет №747 от 31.08.18  Объект: Красногорский б-р, д. 46. В т.ч. НДС (18%) 20482,01</t>
  </si>
  <si>
    <t>Отопление и затраты к возмещ.по заполн.сет.водой за август 18, договор №09-С/П-15 от 01.09.15, счет №747 от 31.08.18  Объект: Красногорский б-р, д. 48. В т.ч. НДС (18%) 20665,06</t>
  </si>
  <si>
    <t>Отопление и затраты к возмещ.по заполн.сет.водой за август 18, договор №09-С/П-15 от 01.09.15, счет №747 от 31.08.18  Объект: Павшинский б-р, д.34. В т.ч. НДС (18%) 20040,14</t>
  </si>
  <si>
    <t>Отопление и затраты к возмещ.по заполн.сет.водой за август 18, договор №09-С/П-15 от 01.09.15, счет №747 от 31.08.18  Объект: Павшинский б-р, д.36. В т.ч. НДС (18%) 21103,03</t>
  </si>
  <si>
    <t>Отопление и затраты к возмещ.по заполн.сет.водой за август 18, договор №09-С/П-15 от 01.09.15, счет №747 от 31.08.18  Объект: ул. Головкина, д. 7. В т.ч. НДС (18%) 13377,04</t>
  </si>
  <si>
    <t>Отопление и затраты к возмещ.по заполн.сет.водой за сентябрь 18, договор №09-С/П-15 от 01.09.15, счет №831 от 30.09.18  Объект: Красногорский б-р, д. 8. В т.ч. НДС (18%) 38057,41</t>
  </si>
  <si>
    <t>Отопление и затраты к возмещ.по заполн.сет.водой за сентябрь 18, договор №09-С/П-15 от 01.09.15, счет №831 от 30.09.18  Объект: Павшинский б-р, д. 15. В т.ч. НДС (18%) 14951,09</t>
  </si>
  <si>
    <t>12.11.2018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</si>
  <si>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3. В т.ч. НДС (18%) 25520,69</t>
  </si>
  <si>
    <t>Отопление и затраты к возмещ.по заполн.сет.водой за сентябрь 18, договор №09-С/П-15 от 01.09.15, счет №831 от 30.09.18  Объект: Красногорский б-р, д. 10. В т.ч. НДС (18%) 49840,28</t>
  </si>
  <si>
    <t>Отопление и затраты к возмещ.по заполн.сет.водой за сентябрь 18, договор №09-С/П-15 от 01.09.15, счет №831 от 30.09.18  Объект: Красногорский б-р, д. 14. В т.ч. НДС (18%) 69074,76</t>
  </si>
  <si>
    <t>Отопление и затраты к возмещ.по заполн.сет.водой за сентябрь 18, договор №09-С/П-15 от 01.09.15, счет №831 от 30.09.18  Объект: Красногорский б-р, д. 18. В т.ч. НДС (18%) 97632,7</t>
  </si>
  <si>
    <t>Отопление и затраты к возмещ.по заполн.сет.водой за сентябрь 18, договор №09-С/П-15 от 01.09.15, счет №831 от 30.09.18  Объект: Красногорский б-р, д. 24. В т.ч. НДС (18%) 111606,15</t>
  </si>
  <si>
    <t>Отопление и затраты к возмещ.по заполн.сет.водой за сентябрь 18, договор №09-С/П-15 от 01.09.15, счет №831 от 30.09.18  Объект: Павшинский б-р, д. 38. В т.ч. НДС (18%) 9453,26</t>
  </si>
  <si>
    <t>Отопление и затраты к возмещ.по заполн.сет.водой за сентябрь 18, договор №09-С/П-15 от 01.09.15, счет №831 от 30.09.18  Объект: ул. Головкина, д. 7. В т.ч. НДС (18%) 18301,84</t>
  </si>
  <si>
    <t>Отопление за сентябрь 18, договор №09-С/П-15 от 01.09.15, счет №831 от 30.09.18  Объект: Ильинский б-р, д.2А. В т.ч. НДС (18%) 17542,45</t>
  </si>
  <si>
    <t>15.11.2018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</si>
  <si>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20. В т.ч. НДС (18%) 78467,45</t>
  </si>
  <si>
    <t>Отопление и затраты к возмещ.по заполн.сет.водой за сентябрь 18, договор №09-С/П-15 от 01.09.15, счет №831 от 30.09.18  Объект: Красногорский б-р, д. 26. В т.ч. НДС (18%) 62669,66</t>
  </si>
  <si>
    <t>Отопление и затраты к возмещ.по заполн.сет.водой за сентябрь 18, договор №09-С/П-15 от 01.09.15, счет №831 от 30.09.18  Объект: Красногорский б-р, д. 28. В т.ч. НДС (18%) 24312,78</t>
  </si>
  <si>
    <t>Отопление и затраты к возмещ.по заполн.сет.водой за сентябрь 18, договор №09-С/П-15 от 01.09.15, счет №831 от 30.09.18  Объект: Красногорский б-р, д. 32. В т.ч. НДС (18%) 23456,07</t>
  </si>
  <si>
    <t>19.11.2018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</si>
  <si>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34. В т.ч. НДС (18%) 21258,93</t>
  </si>
  <si>
    <t>Отопление и затраты к возмещ.по заполн.сет.водой за сентябрь 18, договор №09-С/П-15 от 01.09.15, счет №831 от 30.09.18  Объект: Красногорский б-р, д. 36. В т.ч. НДС (18%) 64325,94</t>
  </si>
  <si>
    <t>Отопление и затраты к возмещ.по заполн.сет.водой за сентябрь 18, договор №09-С/П-15 от 01.09.15, счет №831 от 30.09.18  Объект: Красногорский б-р, д. 46. В т.ч. НДС (18%) 27511,99</t>
  </si>
  <si>
    <t>22.11.2018 0:00:00</t>
  </si>
  <si>
    <t>Отопление и затраты к возмещ.по заполн.сет.водой за сентябрь 18, договор №09-С/П-15 от 01.09.15, счет №831 от 30.09.18  Объект: Красногорский б-р, д. 48. В т.ч. НДС (18%) 27017,02</t>
  </si>
  <si>
    <t>Отопление и затраты к возмещ.по заполн.сет.водой за сентябрь 18, договор №09-С/П-15 от 01.09.15, счет №831 от 30.09.18  Объект: Красногорский б-р, д. 50. В т.ч. НДС (18%) 32620,03</t>
  </si>
  <si>
    <t>Отопление и затраты к возмещ.по заполн.сет.водой за сентябрь 18, договор №09-С/П-15 от 01.09.15, счет №831 от 30.09.18  Объект: Павшинский б-р, д. 34. В т.ч. НДС (18%) 31634,96</t>
  </si>
  <si>
    <t>Отопление и затраты к возмещ.по заполн.сет.водой за сентябрь 18, договор №09-С/П-15 от 01.09.15, счет №831 от 30.09.18  Объект: Павшинский б-р, д. 36. В т.ч. НДС (18%) 28426,96</t>
  </si>
  <si>
    <t>Отопление за сентябрь 18, договор №09-С/П-15 от 01.09.15, счет №831 от 30.09.18  Объект: Красногорский б-р, д.3. В т.ч. НДС (18%) 1557,99</t>
  </si>
  <si>
    <t>03.12.2018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</si>
  <si>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57641,01</t>
  </si>
  <si>
    <t>04.12.2018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</si>
  <si>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6. В т.ч. НДС (18%) 15254,24</t>
  </si>
  <si>
    <t>Отопление и затраты к возмещ.по заполн.сет.водой за октябрь 18, договор №09-С/П-15 от 01.09.15, счет №951 от 31.10.18  Объект: Красногорский б-р, д. 8. В т.ч. НДС (18%) 99738</t>
  </si>
  <si>
    <t>10.12.2018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</si>
  <si>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10. В т.ч. НДС (18%) 151354,82</t>
  </si>
  <si>
    <t>Отопление и затраты к возмещ.по заполн.сет.водой за октябрь 18, договор №09-С/П-15 от 01.09.15, счет №951 от 31.10.18  Объект: Красногорский б-р, д. 18. В т.ч. НДС (18%) 284750,14</t>
  </si>
  <si>
    <t>13.12.2018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</si>
  <si>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24. В т.ч. НДС (18%) 330833,18</t>
  </si>
  <si>
    <t>17.12.2018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</si>
  <si>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14. В т.ч. НДС (18%) 218139,73</t>
  </si>
  <si>
    <t>20.12.2018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</si>
  <si>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26. В т.ч. НДС (18%) 217512,49</t>
  </si>
  <si>
    <t>Отопление и затраты к возмещ.по заполн.сет.водой за октябрь 18, договор №09-С/П-15 от 01.09.15, счет №951 от 31.10.18  Объект: Красногорский б-р, д. 50. В т.ч. НДС (18%) 90324,25</t>
  </si>
  <si>
    <t>24.12.2018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</si>
  <si>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20. В т.ч. НДС (18%) 208304,66</t>
  </si>
  <si>
    <t>Отопление и затраты к возмещ.по заполн.сет.водой за октябрь 18, договор №09-С/П-15 от 01.09.15, счет №951 от 31.10.18  Объект: Ильинский б-р, д. 3. В т.ч. НДС (18%) 14059,04</t>
  </si>
  <si>
    <t>29.12.2018 0:00:00</t>
  </si>
  <si>
    <t>Отопление и затраты к возмещ.по заполн.сет.водой за октябрь 18, договор №09-С/П-15 от 01.09.15, счет №951 от 31.10.18  Объект: Красногорский б-р, д. 36. В т.ч. НДС (18%) 184774,34</t>
  </si>
  <si>
    <t>Отопление и затраты к возмещ.по заполн.сет.водой за октябрь 18, договор №09-С/П-15 от 01.09.15, счет №951 от 31.10.18  Объект: Ильинский б-р, д. 2А. В т.ч. НДС (18%) 172003,76</t>
  </si>
  <si>
    <t>Затраты к возмещению по заполнению сетевой водой за ноябрь 17, договор №09-С/П-15 от 01.09.15, счет №700 от 30.11.17  Объект: Красногорский б-р, д. 6. В т.ч. НДС (18%) 1,22</t>
  </si>
  <si>
    <t>Затраты к возмещению по заполнению сетевой водой за ноябрь 17, договор №09-С/П-15 от 01.09.15, счет №700 от 30.11.17  Объект: Красногорский б-р, д. 8. В т.ч. НДС (18%) 0,46</t>
  </si>
  <si>
    <t>Затраты к возмещению по заполнению сетевой водой за ноябрь 17, договор №09-С/П-15 от 01.09.15, счет №700 от 30.11.17  Объект: Красногорский б-р, д. 10. В т.ч. НДС (18%) 4,43</t>
  </si>
  <si>
    <t>Затраты к возмещению по заполнению сетевой водой за ноябрь 17, договор №09-С/П-15 от 01.09.15, счет №700 от 30.11.17  Объект: Красногорский б-р, д. 14. В т.ч. НДС (18%) 40,77</t>
  </si>
  <si>
    <t>Затраты к возмещению по заполнению сетевой водой за ноябрь 17, договор №09-С/П-15 от 01.09.15, счет №700 от 30.11.17  Объект: Красногорский б-р, д. 18. В т.ч. НДС (18%) 1381,89</t>
  </si>
  <si>
    <t>Затраты к возмещению по заполнению сетевой водой за ноябрь 17, договор №09-С/П-15 от 01.09.15, счет №700 от 30.11.17  Объект: Красногорский б-р, д. 20. В т.ч. НДС (18%) 46,42</t>
  </si>
  <si>
    <t>Затраты к возмещению по заполнению сетевой водой за ноябрь 17, договор №09-С/П-15 от 01.09.15, счет №700 от 30.11.17  Объект: Красногорский б-р, д. 26. В т.ч. НДС (18%) 395,94</t>
  </si>
  <si>
    <t>Затраты к возмещению по заполнению сетевой водой за ноябрь 17, договор №09-С/П-15 от 01.09.15, счет №700 от 30.11.17  Объект: Красногорский б-р, д. 34. В т.ч. НДС (18%) 31,15</t>
  </si>
  <si>
    <t>Затраты к возмещению по заполнению сетевой водой за ноябрь 17, договор №09-С/П-15 от 01.09.15, счет №700 от 30.11.17  Объект: Красногорский б-р, д. 36. В т.ч. НДС (18%) 44,13</t>
  </si>
  <si>
    <t>Затраты к возмещению по заполнению сетевой водой за ноябрь 17, договор №09-С/П-15 от 01.09.15, счет №700 от 30.11.17  Объект: Красногорский б-р, д. 48. В т.ч. НДС (18%) 2,6</t>
  </si>
  <si>
    <t>Затраты к возмещению по заполнению сетевой водой за ноябрь 17, договор №09-С/П-15 от 01.09.15, счет №700 от 30.11.17  Объект: Красногорский б-р, д. 50. В т.ч. НДС (18%) 46,57</t>
  </si>
  <si>
    <t>Затраты к возмещению по заполнению сетевой водой за ноябрь 17, договор №09-С/П-15 от 01.09.15, счет №700 от 30.11.17  Объект: Павшинский бульвар д.15. В т.ч. НДС (18%) 4,43</t>
  </si>
  <si>
    <t>Затраты к возмещению по заполнению сетевой водой за ноябрь 17, договор №09-С/П-15 от 01.09.15, счет №700 от 30.11.17  Объект: ул. Головкина, д. 7. В т.ч. НДС (18%) 6,26</t>
  </si>
  <si>
    <t>Затраты к возмещению по заполнению сетевой водой за ноябрь 17, договор №09-С/П-15 от 01.09.15, счет №700 от 30.11.17  Объект: Павшинский бульвар д.36. В т.ч. НДС (18%) 44,74</t>
  </si>
  <si>
    <t>Затраты к возмещению по заполнению сетевой водой за декабрь 17, договор №09-С/П-15 от 01.09.15, счет №780 от 31.12.17  Объект: Красногорский б-р, д. 6. В т.ч. НДС (18%) 1,22</t>
  </si>
  <si>
    <t>Затраты к возмещению по заполнению сетевой водой за декабрь 17, договор №09-С/П-15 от 01.09.15, счет №780 от 31.12.17  Объект: Красногорский б-р, д. 8. В т.ч. НДС (18%) 2,9</t>
  </si>
  <si>
    <t>Затраты к возмещению по заполнению сетевой водой за декабрь 17, договор №09-С/П-15 от 01.09.15, счет №780 от 31.12.17  Объект: Красногорский б-р, д. 10.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</si>
  <si>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14. В т.ч. НДС (18%) 37,1</t>
  </si>
  <si>
    <t>Затраты к возмещению по заполнению сетевой водой за декабрь 17, договор №09-С/П-15 от 01.09.15, счет №780 от 31.12.17  Объект: Красногорский б-р, д. 18. В т.ч. НДС (18%) 115,74</t>
  </si>
  <si>
    <t>Затраты к возмещению по заполнению сетевой водой за декабрь 17, договор №09-С/П-15 от 01.09.15, счет №780 от 31.12.17  Объект: Красногорский б-р, д. 20. В т.ч. НДС (18%) 102</t>
  </si>
  <si>
    <t>Затраты к возмещению по заполнению сетевой водой за декабрь 17, договор №09-С/П-15 от 01.09.15, счет №780 от 31.12.17  Объект: Красногорский б-р, д. 26. В т.ч. НДС (18%) 6,26</t>
  </si>
  <si>
    <t>Затраты к возмещению по заполнению сетевой водой за декабрь 17, договор №09-С/П-15 от 01.09.15, счет №780 от 31.12.17  Объект: Красногорский б-р, д. 34. В т.ч. НДС (18%) 6,72</t>
  </si>
  <si>
    <t>Затраты к возмещению по заполнению сетевой водой за декабрь 17, договор №09-С/П-15 от 01.09.15, счет №780 от 31.12.17  Объект: Красногорский б-р, д. 36. В т.ч. НДС (18%) 50,39</t>
  </si>
  <si>
    <t>Затраты к возмещению по заполнению сетевой водой за декабрь 17, договор №09-С/П-15 от 01.09.15, счет №780 от 31.12.17  Объект: Красногорский б-р, д. 46. В т.ч. НДС (18%) 0,46</t>
  </si>
  <si>
    <t>Затраты к возмещению по заполнению сетевой водой за декабрь 17, договор №09-С/П-15 от 01.09.15, счет №780 от 31.12.17  Объект: Красногорский б-р, д. 50. В т.ч. НДС (18%) 9,01</t>
  </si>
  <si>
    <t>Затраты к возмещению по заполнению сетевой водой за декабрь 17, договор №09-С/П-15 от 01.09.15, счет №780 от 31.12.17  Объект: Павшинский б-р, д. 15. В т.ч. НДС (18%) 4,28</t>
  </si>
  <si>
    <t>Затраты к возмещению по заполнению сетевой водой за декабрь 17, договор №09-С/П-15 от 01.09.15, счет №780 от 31.12.17  Объект: Головкина, д. 7. В т.ч. НДС (18%) 5,8</t>
  </si>
  <si>
    <t>Затраты к возмещению по заполнению сетевой водой за декабрь 17, договор №09-С/П-15 от 01.09.15, счет №780 от 31.12.17  Объект: Павшинский, д. 36. В т.ч. НДС (18%) 47,03</t>
  </si>
  <si>
    <t>Затраты к возмещению по заполнению сетевой водой за декабрь 17, договор №09-С/П-15 от 01.09.15, счет №780 от 31.12.17  Объект: Павшинский, д. 34. В т.ч. НДС (18%) 31,61</t>
  </si>
  <si>
    <t>Затраты к возмещению по заполнению сетевой водой за декабрь 17, договор №09-С/П-15 от 01.09.15, счет №780 от 31.12.17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</si>
  <si>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Красногорский б-р, д. 6. В т.ч. НДС (18%) 11,6</t>
  </si>
  <si>
    <t>Затраты к возмещению по заполнению сетевой водой за январь 18, договор №09-С/П-15 от 01.09.15, счет №5 от 31.01.18  Объект: Красногорский б-р, д. 8. В т.ч. НДС (18%) 2,14</t>
  </si>
  <si>
    <t>Затраты к возмещению по заполнению сетевой водой за январь 18, договор №09-С/П-15 от 01.09.15, счет №5 от 31.01.18  Объект: Красногорский б-р, д. 10. В т.ч. НДС (18%) 6,26</t>
  </si>
  <si>
    <t>Затраты к возмещению по заполнению сетевой водой за январь 18, договор №09-С/П-15 от 01.09.15, счет №5 от 31.01.18  Объект: Красногорский б-р, д. 14. В т.ч. НДС (18%) 56,03</t>
  </si>
  <si>
    <t>Затраты к возмещению по заполнению сетевой водой за январь 18, договор №09-С/П-15 от 01.09.15, счет №5 от 31.01.18  Объект: Красногорский б-р, д. 18. В т.ч. НДС (18%) 91</t>
  </si>
  <si>
    <t>Затраты к возмещению по заполнению сетевой водой за январь 18, договор №09-С/П-15 от 01.09.15, счет №5 от 31.01.18  Объект: Красногорский б-р, д. 20. В т.ч. НДС (18%) 32,67</t>
  </si>
  <si>
    <t>Затраты к возмещению по заполнению сетевой водой за январь 18, договор №09-С/П-15 от 01.09.15, счет №5 от 31.01.18  Объект: Красногорский б-р, д. 26. В т.ч. НДС (18%) 18,32</t>
  </si>
  <si>
    <t>Затраты к возмещению по заполнению сетевой водой за январь 18, договор №09-С/П-15 от 01.09.15, счет №5 от 31.01.18  Объект: Красногорский б-р, д. 32. В т.ч. НДС (18%) 9,77</t>
  </si>
  <si>
    <t>Затраты к возмещению по заполнению сетевой водой за январь 18, договор №09-С/П-15 от 01.09.15, счет №5 от 31.01.18  Объект: Красногорский б-р, д. 34. В т.ч. НДС (18%) 0,46</t>
  </si>
  <si>
    <t>Затраты к возмещению по заполнению сетевой водой за январь 18, договор №09-С/П-15 от 01.09.15, счет №5 от 31.01.18  Объект: Красногорский б-р, д. 36. В т.ч. НДС (18%) 54,51</t>
  </si>
  <si>
    <t>Затраты к возмещению по заполнению сетевой водой за январь 18, договор №09-С/П-15 от 01.09.15, счет №5 от 31.01.18  Объект: Красногорский б-р, д. 46. В т.ч. НДС (18%) 1,37</t>
  </si>
  <si>
    <t>Затраты к возмещению по заполнению сетевой водой за январь 18, договор №09-С/П-15 от 01.09.15, счет №5 от 31.01.18  Объект: Красногорский б-р, д. 48. В т.ч. НДС (18%) 0,15</t>
  </si>
  <si>
    <t>Затраты к возмещению по заполнению сетевой водой за январь 18, договор №09-С/П-15 от 01.09.15, счет №5 от 31.01.18  Объект: Красногорский б-р, д. 50. В т.ч. НДС (18%) 1,98</t>
  </si>
  <si>
    <t>Затраты к возмещению по заполнению сетевой водой за январь 18, договор №09-С/П-15 от 01.09.15, счет №5 от 31.01.18  Объект: Павшинский б-р, д. 15. В т.ч. НДС (18%) 5,34</t>
  </si>
  <si>
    <t>Затраты к возмещению по заполнению сетевой водой за январь 18, договор №09-С/П-15 от 01.09.15, счет №5 от 31.01.18  Объект: Павшинский, д. 34. В т.ч. НДС (18%) 33,13</t>
  </si>
  <si>
    <t>Затраты к возмещению по заполнению сетевой водой за январь 18, договор №09-С/П-15 от 01.09.15, счет №5 от 31.01.18  Объект: Павшинский, д. 36. В т.ч. НДС (18%) 16,95</t>
  </si>
  <si>
    <t>Затраты к возмещению по заполнению сетевой водой за январь 18, договор №09-С/П-15 от 01.09.15, счет №5 от 31.01.18  Объект: Павшинский, д. 38. В т.ч. НДС (18%) 15,27</t>
  </si>
  <si>
    <t>Затраты к возмещению по заполнению сетевой водой за январь 18, договор №09-С/П-15 от 01.09.15, счет №5 от 31.01.18  Объект: Головкина, д. 7. В т.ч. НДС (18%) 3,51</t>
  </si>
  <si>
    <t>Затраты к возмещению по заполнению сетевой водой за февраль 18, договор №09-С/П-15 от 01.09.15, счет №120 от 28.02.18  Объект: Ильинский б-р, д. 2А. В т.ч. НДС (18%) 5,34</t>
  </si>
  <si>
    <t>Затраты к возмещению по заполнению сетевой водой за февраль 18, договор №09-С/П-15 от 01.09.15, счет №120 от 28.02.18  Объект: Красногорский б-р, д. 6. В т.ч. НДС (18%) 1,22</t>
  </si>
  <si>
    <t>Затраты к возмещению по заполнению сетевой водой за февраль 18, договор №09-С/П-15 от 01.09.15, счет №120 от 28.02.18  Объект: Красногорский б-р, д. 8. В т.ч. НДС (18%) 41,99</t>
  </si>
  <si>
    <t>Затраты к возмещению по заполнению сетевой водой за февраль 18, договор №09-С/П-15 от 01.09.15, счет №120 от 28.02.18  Объект: Красногорский б-р, д. 10. В т.ч. НДС (18%) 13,28</t>
  </si>
  <si>
    <t>Затраты к возмещению по заполнению сетевой водой за февраль 18, договор №09-С/П-15 от 01.09.15, счет №120 от 28.02.18  Объект: Красногорский б-р, д. 14. В т.ч. НДС (18%) 136,95</t>
  </si>
  <si>
    <t>Затраты к возмещению по заполнению сетевой водой за февраль 18, договор №09-С/П-15 от 01.09.15, счет №120 от 28.02.18  Объект: Красногорский б-р, д. 18. В т.ч. НДС (18%) 83,97</t>
  </si>
  <si>
    <t>Затраты к возмещению по заполнению сетевой водой за февраль 18, договор №09-С/П-15 от 01.09.15, счет №120 от 28.02.18  Объект: Красногорский б-р, д. 20. В т.ч. НДС (18%) 20,76</t>
  </si>
  <si>
    <t>Затраты к возмещению по заполнению сетевой водой за февраль 18, договор №09-С/П-15 от 01.09.15, счет №120 от 28.02.18  Объект: Красногорский б-р, д. 26. В т.ч. НДС (18%) 3,05</t>
  </si>
  <si>
    <t>Затраты к возмещению по заполнению сетевой водой за февраль 18, договор №09-С/П-15 от 01.09.15, счет №120 от 28.02.18  Объект: Красногорский б-р, д. 32. В т.ч. НДС (18%) 1,07</t>
  </si>
  <si>
    <t>Затраты к возмещению по заполнению сетевой водой за февраль 18, договор №09-С/П-15 от 01.09.15, счет №120 от 28.02.18  Объект: Красногорский б-р, д. 34. В т.ч. НДС (18%) 0,92</t>
  </si>
  <si>
    <t>Затраты к возмещению по заполнению сетевой водой за февраль 18, договор №09-С/П-15 от 01.09.15, счет №120 от 28.02.18  Объект: Красногорский б-р, д. 36. В т.ч. НДС (18%) 38,17</t>
  </si>
  <si>
    <t>Затраты к возмещению по заполнению сетевой водой за февраль 18, договор №09-С/П-15 от 01.09.15, счет №120 от 28.02.18  Объект: Красногорский б-р, д. 46. В т.ч. НДС (18%) 0,15</t>
  </si>
  <si>
    <t>Затраты к возмещению по заполнению сетевой водой за февраль 18, договор №09-С/П-15 от 01.09.15, счет №120 от 28.02.18  Объект: Красногорский б-р, д. 48. В т.ч. НДС (18%) 0,76</t>
  </si>
  <si>
    <t>Затраты к возмещению по заполнению сетевой водой за февраль 18, договор №09-С/П-15 от 01.09.15, счет №120 от 28.02.18  Объект: Красногорский б-р, д. 50. В т.ч. НДС (18%) 4,28</t>
  </si>
  <si>
    <t>Затраты к возмещению по заполнению сетевой водой за февраль 18, договор №09-С/П-15 от 01.09.15, счет №120 от 28.02.18  Объект: Павшинский б-р, д. 15. В т.ч. НДС (18%) 1,68</t>
  </si>
  <si>
    <t>Затраты к возмещению по заполнению сетевой водой за февраль 18, договор №09-С/П-15 от 01.09.15, счет №120 от 28.02.18  Объект: Павшинский б-р, д. 34. В т.ч. НДС (18%) 50,99</t>
  </si>
  <si>
    <t>Затраты к возмещению по заполнению сетевой водой за февраль 18, договор №09-С/П-15 от 01.09.15, счет №120 от 28.02.18  Объект: Павшинский б-р, д. 36. В т.ч. НДС (18%) 37,86</t>
  </si>
  <si>
    <t>Затраты к возмещению по заполнению сетевой водой за февраль 18, договор №09-С/П-15 от 01.09.15, счет №120 от 28.02.18  Объект: Павшинский б-р, д. 38. В т.ч. НДС (18%) 61,07</t>
  </si>
  <si>
    <t>Затраты к возмещению по заполнению сетевой водой за март 18, договор №09-С/П-15 от 01.09.15, счет №225 от 31.03.18  Объект: Красногорский б-р, д. 6. В т.ч. НДС (18%) 1,22</t>
  </si>
  <si>
    <t>Затраты к возмещению по заполнению сетевой водой за март 18, договор №09-С/П-15 от 01.09.15, счет №225 от 31.03.18  Объект: Красногорский б-р, д. 8. В т.ч. НДС (18%) 14,35</t>
  </si>
  <si>
    <t>Затраты к возмещению по заполнению сетевой водой за март 18, договор №09-С/П-15 от 01.09.15, счет №225 от 31.03.18  Объект: Красногорский б-р, д. 10. В т.ч. НДС (18%) 16,18</t>
  </si>
  <si>
    <t>Затраты к возмещению по заполнению сетевой водой за март 18, договор №09-С/П-15 от 01.09.15, счет №225 от 31.03.18  Объект: Красногорский б-р, д. 14. В т.ч. НДС (18%) 100,46</t>
  </si>
  <si>
    <t>Затраты к возмещению по заполнению сетевой водой за март 18, договор №09-С/П-15 от 01.09.15, счет №225 от 31.03.18  Объект: Красногорский б-р, д. 18. В т.ч. НДС (18%) 125,35</t>
  </si>
  <si>
    <t>Затраты к возмещению по заполнению сетевой водой за март 18, договор №09-С/П-15 от 01.09.15, счет №225 от 31.03.18  Объект: Красногорский б-р, д. 20. В т.ч. НДС (18%) 336,81</t>
  </si>
  <si>
    <t>Затраты к возмещению по заполнению сетевой водой за март 18, договор №09-С/П-15 от 01.09.15, счет №225 от 31.03.18  Объект: Красногорский б-р, д. 26. В т.ч. НДС (18%) 99,24</t>
  </si>
  <si>
    <t>Затраты к возмещению по заполнению сетевой водой за март 18, договор №09-С/П-15 от 01.09.15, счет №225 от 31.03.18  Объект: Красногорский б-р, д. 32. В т.ч. НДС (18%) 7,79</t>
  </si>
  <si>
    <t>Затраты к возмещению по заполнению сетевой водой за март 18, договор №09-С/П-15 от 01.09.15, счет №225 от 31.03.18  Объект: Красногорский б-р, д. 34. В т.ч. НДС (18%) 11,91</t>
  </si>
  <si>
    <t>Затраты к возмещению по заполнению сетевой водой за март 18, договор №09-С/П-15 от 01.09.15, счет №225 от 31.03.18  Объект: Красногорский б-р, д. 36. В т.ч. НДС (18%) 56,19</t>
  </si>
  <si>
    <t>Затраты к возмещению по заполнению сетевой водой за март 18, договор №09-С/П-15 от 01.09.15, счет №225 от 31.03.18  Объект: Красногорский б-р, д. 46. В т.ч. НДС (18%) 20,92</t>
  </si>
  <si>
    <t>Затраты к возмещению по заполнению сетевой водой за март 18, договор №09-С/П-15 от 01.09.15, счет №225 от 31.03.18  Объект: Красногорский б-р, д. 48. В т.ч. НДС (18%) 30,54</t>
  </si>
  <si>
    <t>Затраты к возмещению по заполнению сетевой водой за март 18, договор №09-С/П-15 от 01.09.15, счет №225 от 31.03.18  Объект: Красногорский б-р, д. 50. В т.ч. НДС (18%) 56,8</t>
  </si>
  <si>
    <t>Затраты к возмещению по заполнению сетевой водой за март 18, договор №09-С/П-15 от 01.09.15, счет №225 от 31.03.18  Объект: Павшинский б-р, д. 15. В т.ч. НДС (18%) 6,11</t>
  </si>
  <si>
    <t>Затраты к возмещению по заполнению сетевой водой за март 18, договор №09-С/П-15 от 01.09.15, счет №225 от 31.03.18  Объект: Павшинский б-р, д. 34. В т.ч. НДС (18%) 589,95</t>
  </si>
  <si>
    <t>Затраты к возмещению по заполнению сетевой водой за март 18, договор №09-С/П-15 от 01.09.15, счет №225 от 31.03.18  Объект: Павшинский б-р, д. 36. В т.ч. НДС (18%) 41,07</t>
  </si>
  <si>
    <t>Затраты к возмещению по заполнению сетевой водой за март 18, договор №09-С/П-15 от 01.09.15, счет №225 от 31.03.18  Объект: Павшинский б-р, д. 38. В т.ч. НДС (18%) 15,27</t>
  </si>
  <si>
    <t>Затраты к возмещению по заполнению сетевой водой за март 18, договор №09-С/П-15 от 01.09.15, счет №225 от 31.03.18  Объект: ул. Им.Головкина, д. 7. В т.ч. НДС (18%) 21,83</t>
  </si>
  <si>
    <t>Затраты к возмещению по заполнению сетевой водой за апрель 18, договор №09-С/П-15 от 01.09.15, счет №359 от 30.04.18  Объект: Красногорский б-р, д. 6. В т.ч. НДС (18%) 5,04</t>
  </si>
  <si>
    <t>Затраты к возмещению по заполнению сетевой водой за апрель 18, договор №09-С/П-15 от 01.09.15, счет №359 от 30.04.18  Объект: Красногорский б-р, д. 8. В т.ч. НДС (18%) 5,65</t>
  </si>
  <si>
    <t>Затраты к возмещению по заполнению сетевой водой за апрель 18, договор №09-С/П-15 от 01.09.15, счет №359 от 30.04.18  Объект: Красногорский б-р, д. 10. В т.ч. НДС (18%) 17,1</t>
  </si>
  <si>
    <t>Затраты к возмещению по заполнению сетевой водой за апрель 18, договор №09-С/П-15 от 01.09.15, счет №359 от 30.04.18  Объект: Красногорский б-р, д. 14. В т.ч. НДС (18%) 80,62</t>
  </si>
  <si>
    <t>Затраты к возмещению по заполнению сетевой водой за апрель 18, договор №09-С/П-15 от 01.09.15, счет №359 от 30.04.18  Объект: Красногорский б-р, д. 18. В т.ч. НДС (18%) 76,03</t>
  </si>
  <si>
    <t>Затраты к возмещению по заполнению сетевой водой за апрель 18, договор №09-С/П-15 от 01.09.15, счет №359 от 30.04.18  Объект: Красногорский б-р, д. 20. В т.ч. НДС (18%) 43,21</t>
  </si>
  <si>
    <t>Затраты к возмещению по заполнению сетевой водой за апрель 18, договор №09-С/П-15 от 01.09.15, счет №359 от 30.04.18  Объект: Красногорский б-р, д. 26. В т.ч. НДС (18%) 7,94</t>
  </si>
  <si>
    <t>Затраты к возмещению по заполнению сетевой водой за апрель 18, договор №09-С/П-15 от 01.09.15, счет №359 от 30.04.18  Объект: Красногорский б-р, д. 32. В т.ч. НДС (18%) 1,98</t>
  </si>
  <si>
    <t>Затраты к возмещению по заполнению сетевой водой за апрель 18, договор №09-С/П-15 от 01.09.15, счет №359 от 30.04.18  Объект: Красногорский б-р, д. 34. В т.ч. НДС (18%) 0,31</t>
  </si>
  <si>
    <t>Затраты к возмещению по заполнению сетевой водой за апрель 18, договор №09-С/П-15 от 01.09.15, счет №359 от 30.04.18  Объект: Красногорский б-р, д. 36. В т.ч. НДС (18%) 40,92</t>
  </si>
  <si>
    <t>Затраты к возмещению по заполнению сетевой водой за апрель 18, договор №09-С/П-15 от 01.09.15, счет №359 от 30.04.18  Объект: Красногорский б-р, д. 46. В т.ч. НДС (18%) 6,87</t>
  </si>
  <si>
    <t>Затраты к возмещению по заполнению сетевой водой за апрель 18, договор №09-С/П-15 от 01.09.15, счет №359 от 30.04.18  Объект: Красногорский б-р, д. 48. В т.ч. НДС (18%) 24,73</t>
  </si>
  <si>
    <t>Затраты к возмещению по заполнению сетевой водой за апрель 18, договор №09-С/П-15 от 01.09.15, счет №359 от 30.04.18  Объект: Красногорский б-р, д. 50. В т.ч. НДС (18%) 43,36</t>
  </si>
  <si>
    <t>Затраты к возмещению по заполнению сетевой водой за апрель 18, договор №09-С/П-15 от 01.09.15, счет №359 от 30.04.18  Объект:Павшинский б-р, д. 15. В т.ч. НДС (18%) 2,75</t>
  </si>
  <si>
    <t>Затраты к возмещению по заполнению сетевой водой за апрель 18, договор №09-С/П-15 от 01.09.15, счет №359 от 30.04.18  Объект:Павшинский б-р, д. 34. В т.ч. НДС (18%) 67,33</t>
  </si>
  <si>
    <t>Затраты к возмещению по заполнению сетевой водой за апрель 18, договор №09-С/П-15 от 01.09.15, счет №359 от 30.04.18  Объект:Павшинский б-р, д. 36. В т.ч. НДС (18%) 13,44</t>
  </si>
  <si>
    <t>Затраты к возмещению по заполнению сетевой водой за апрель 18, договор №09-С/П-15 от 01.09.15, счет №359 от 30.04.18  Объект:Павшинский б-р, д. 38. В т.ч. НДС (18%) 30,54</t>
  </si>
  <si>
    <t>Затраты к возмещению по заполнению сетевой водой за апрель 18, договор №09-С/П-15 от 01.09.15, счет №359 от 30.04.18  Объект:ул. Головкина , д. 7. В т.ч. НДС (18%) 3,36</t>
  </si>
  <si>
    <t>ГВС за ноябрь 17, договор №09-С/П-15 от 01.09.15, счет №700 от 30.11.17  Объект: Ильинский б-р, д. 2А. В т.ч. НДС (18%) 103297,63</t>
  </si>
  <si>
    <t>ГВС за ноябрь 17, договор №09-С/П-15 от 01.09.15, счет №700 от 30.11.17  Объект: Красногорский б-р, д. 3. В т.ч. НДС (18%) 11489,27</t>
  </si>
  <si>
    <t>ГВС за декабрь 17, договор №09-С/П-15 от 01.09.15, счет №780 от 31.12.17  Объект: Ильинский б-р, д. 2А. В т.ч. НДС (18%) 108306,62</t>
  </si>
  <si>
    <t>ГВС за декабрь 17, договор №09-С/П-15 от 01.09.15, счет №780 от 31.12.17  Объект: Красногорский б-р, д. 3. В т.ч. НДС (18%) 11961,19</t>
  </si>
  <si>
    <t>ГВС за январь 18, договор №09-С/П-15 от 01.09.15, счет №5 от 31.01.18  Объект: Красногорский б-р, д. 3. В т.ч. НДС (18%) 11764,93</t>
  </si>
  <si>
    <t>ГВС за январь 18, договор №09-С/П-15 от 01.09.15, счет №5 от 31.01.18  Объект: Ильинский б-р, д. 2А. В т.ч. НДС (18%) 107207,7</t>
  </si>
  <si>
    <t>ГВС за февраль 18, договор №09-С/П-15 от 01.09.15, счет №120 от 28.02.18  Объект: Красногорский б-р, д. 3. В т.ч. НДС (18%) 11093,69</t>
  </si>
  <si>
    <t>ГВС за март 18, договор №09-С/П-15 от 01.09.15, счет №225 от 31.03.18  Объект: Красногорский б-р, д. 3. В т.ч. НДС (18%) 12173,8</t>
  </si>
  <si>
    <t>ФИЛИАЛ ЦЕНТРАЛЬНОГО ПАО БАНКА "ФК ОТКРЫТИЕ" Г.МОСКВА (Расчетный)</t>
  </si>
  <si>
    <t>ГВС за февраль 18, договор №09-С/П-15 от 01.09.15, счет №120 от 28.02.18  Объект: Ильинский б-р, д. 2А. В т.ч. НДС (18%) 99868,57</t>
  </si>
  <si>
    <t>ГВС за апрель 18, договор №09-С/П-15 от 01.09.15, счет №359 от 30.04.18  Объект: Красногорский, д. 3. В т.ч. НДС (18%) 11641,08</t>
  </si>
  <si>
    <t>ГВС за май 18, договор №09-С/П-15 от 01.09.15, счет №470 от 31.05.18  Объект: Красногорский, д. 3. В т.ч. НДС (18%) 12029,12</t>
  </si>
  <si>
    <t>21.08.2018 0:00:00</t>
  </si>
  <si>
    <t>ГВС за март 18, договор №09-С/П-15 от 01.09.15, счет №225 от 31.03.18  Объект: Ильинский б-р, д. 2А. В т.ч. НДС (18%) 24314,09</t>
  </si>
  <si>
    <t>ГВС за март 18, договор №09-С/П-15 от 01.09.15, счет №225 от 31.03.18  Объект: Ильинский б-р, д. 2А. В т.ч. НДС (18%) 86949,15</t>
  </si>
  <si>
    <t>ГВС за июнь 18, договор №09-С/П-15 от 01.09.15, счет №554 от 30.06.18  Объект: Красногорский, д. 3. В т.ч. НДС (18%) 5208,13</t>
  </si>
  <si>
    <t>28.09.2018 0:00:00</t>
  </si>
  <si>
    <t>ГВС за апрель 18, договор №09-С/П-15 от 01.09.15, счет №359 от 30.04.18  Объект: Ильинский б-р, д. 2А. В т.ч. НДС (18%) 103105,82</t>
  </si>
  <si>
    <t>ГВС за май 18, договор №09-С/П-15 от 01.09.15, счет №470 от 31.05.18  Объект: Ильинский б-р, д. 2А. В т.ч. НДС (18%) 84136,97</t>
  </si>
  <si>
    <t>ГВС за июнь 18, договор №09-С/П-15 от 01.09.15, счет №554 от 30.06.18  Объект: Ильинский б-р, д. 2А. В т.ч. НДС (18%) 48587,48</t>
  </si>
  <si>
    <t>ГВС за август18, договор №09-С/П-15 от 01.09.15, счет №747 от 31.08.18  Объект: Ильинский б-р, д. 2А. В т.ч. НДС (18%) 70773,79</t>
  </si>
  <si>
    <t>ГВС за август 18, договор №09-С/П-15 от 01.09.15, счет №747 от 31.08.18  Объект: Красногорский б-р, д. 3. В т.ч. НДС (18%) 8501,08</t>
  </si>
  <si>
    <t>ГВС за июль 18, договор №09-С/П-15 от 01.09.15, счет №657 от 31.07.18  Объект: Красногорский б-р, д. 3. В т.ч. НДС (18%) 8298,1</t>
  </si>
  <si>
    <t>ГВС за июль 18, договор №09-С/П-15 от 01.09.15, счет №657 от 31.07.18  Объект: Ильинский б-р, д. 2А. В т.ч. НДС (18%) 66671,11</t>
  </si>
  <si>
    <t>ГВС за сентябрь18, договор №09-С/П-15 от 01.09.15, счет №831 от 30.09.18  Объект: Красногорский б-р, д. 3. В т.ч. НДС (18%) 9430,92</t>
  </si>
  <si>
    <t>ГВС за сентябрь18, договор №09-С/П-15 от 01.09.15, счет №831 от 30.09.18  Объект: Ильинский б-р, д. 2А. В т.ч. НДС (18%) 81927,58</t>
  </si>
  <si>
    <t>06.12.2018 0:00:00</t>
  </si>
  <si>
    <t>ГВС за октябрь 18, договор №09-С/П-15 от 01.09.15, счет №951 от 31.10.18  Объект: Красногорский б-р, д. 3. В т.ч. НДС (18%) 11598,44</t>
  </si>
  <si>
    <t>07.12.2018 0:00:00</t>
  </si>
  <si>
    <t>ГВС за октябрь 18, договор №09-С/П-15 от 01.09.15, счет №951 от 31.10.18  Объект: Ильинский б-р, д. 2А. В т.ч. НДС (18%) 105024,24</t>
  </si>
  <si>
    <t>Московская область, 
г. Пущино, мкр. АБ, д. 22</t>
  </si>
  <si>
    <t>Московская область, 
г. Пущино, мкр. АБ, д. 23</t>
  </si>
  <si>
    <t>Московская область, 
г. Пущино, мкр. Г, д. 21</t>
  </si>
  <si>
    <t>Московская область, 
г. Пущино, мкр. Г, д. 22</t>
  </si>
  <si>
    <t>Московская область, 
г. Пущино, мкр. ФИАН, д. 1</t>
  </si>
  <si>
    <t>Московская область, 
г. Пущино, мкр. ФИАН, д. 2</t>
  </si>
  <si>
    <t>Московская область, 
г. Пущино, мкр. ФИАН, д. 3</t>
  </si>
  <si>
    <t>Московская область, 
г. Пущино, мкр. ФИАН, д. 4</t>
  </si>
  <si>
    <t>Московская область, 
г. Пущино, мкр. ФИАН, д. 5</t>
  </si>
  <si>
    <t>Московская область, 
г. Пущино, мкр. ФИАН, д. 6</t>
  </si>
  <si>
    <t>Московская область, 
г. Пущино, мкр. ФИАН, д. 7</t>
  </si>
  <si>
    <t>Московская область, 
г. Пущино, мкр. ФИАН, д. 8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</si>
  <si>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2019 год</t>
    </r>
  </si>
  <si>
    <t>Московская область, 
г. Пущино, мкр. В, д. 1</t>
  </si>
  <si>
    <t>Московская область, 
г. Пущино, мкр. В, д. 2</t>
  </si>
  <si>
    <t>Московская область, 
г. Пущино, мкр. В, д. 20</t>
  </si>
  <si>
    <t>Московская область, 
г. Пущино, мкр. В, д. 35</t>
  </si>
  <si>
    <t>Работы по обеспечению вывоза КГМ</t>
  </si>
  <si>
    <t>Форма 2. Сведения о многоквартирных домах, управление которыми осуществляет управляющая организация ООО "УК Инновация"</t>
  </si>
  <si>
    <t>АБ 22</t>
  </si>
  <si>
    <t>сальдо на 01.01.2020</t>
  </si>
  <si>
    <t>по Дту</t>
  </si>
  <si>
    <t>по Кту</t>
  </si>
  <si>
    <t>полное начисление</t>
  </si>
  <si>
    <t>перерасчеты</t>
  </si>
  <si>
    <t>сумма льготы</t>
  </si>
  <si>
    <t>перерасчет льготы</t>
  </si>
  <si>
    <t>Итого начислено</t>
  </si>
  <si>
    <t>Оплачено</t>
  </si>
  <si>
    <t>сальдо на 31.12.2020</t>
  </si>
  <si>
    <t>АБ 23</t>
  </si>
  <si>
    <t>В 1</t>
  </si>
  <si>
    <t>В 2</t>
  </si>
  <si>
    <t>В 20</t>
  </si>
  <si>
    <t>Г 21</t>
  </si>
  <si>
    <t>ВСЕ ДОМА</t>
  </si>
  <si>
    <t>Г 22</t>
  </si>
  <si>
    <t>ФИАН 1</t>
  </si>
  <si>
    <t>ФИАН 2</t>
  </si>
  <si>
    <t>ФИАН 3</t>
  </si>
  <si>
    <t>ФИАН 4</t>
  </si>
  <si>
    <t>ФИАН 8</t>
  </si>
  <si>
    <t>ФИАН 6</t>
  </si>
  <si>
    <t>ФИАН 7</t>
  </si>
  <si>
    <t>ФИАН 5</t>
  </si>
  <si>
    <t>Форма 2. Сведения о многоквартирных домах, управление которыми осуществляет управляющая организация ООО УК "Инновация"</t>
  </si>
  <si>
    <t>37.7.</t>
  </si>
  <si>
    <t>38.7.</t>
  </si>
  <si>
    <t>39.7.</t>
  </si>
  <si>
    <t>40.7.</t>
  </si>
  <si>
    <t>41.7.</t>
  </si>
  <si>
    <t>42.7.</t>
  </si>
  <si>
    <t>43.7.</t>
  </si>
  <si>
    <t>44.7.</t>
  </si>
  <si>
    <t>45.7.</t>
  </si>
  <si>
    <t>46.7.</t>
  </si>
  <si>
    <t>Обращение с ТКО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</si>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</sst>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1">
    <xf numFmtId="0" fontId="0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</cellStyleXfs>
  <cellXfs count="239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indent="3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13" fillId="0" borderId="1" xfId="0" applyFont="1" applyBorder="1"/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 indent="3"/>
    </xf>
    <xf numFmtId="49" fontId="7" fillId="5" borderId="1" xfId="0" applyNumberFormat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4" fontId="18" fillId="0" borderId="5" xfId="2" applyNumberFormat="1" applyFont="1" applyBorder="1" applyAlignment="1">
      <alignment horizontal="right" vertical="top" wrapText="1"/>
    </xf>
    <xf numFmtId="0" fontId="19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9" fillId="0" borderId="11" xfId="0" applyNumberFormat="1" applyFont="1" applyBorder="1"/>
    <xf numFmtId="4" fontId="19" fillId="0" borderId="12" xfId="0" applyNumberFormat="1" applyFont="1" applyBorder="1"/>
    <xf numFmtId="4" fontId="19" fillId="0" borderId="13" xfId="0" applyNumberFormat="1" applyFont="1" applyBorder="1"/>
    <xf numFmtId="4" fontId="0" fillId="0" borderId="2" xfId="0" applyNumberFormat="1" applyBorder="1"/>
    <xf numFmtId="4" fontId="19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7" borderId="5" xfId="2" applyFont="1" applyFill="1" applyBorder="1" applyAlignment="1">
      <alignment horizontal="left" vertical="top" wrapText="1" indent="1"/>
    </xf>
    <xf numFmtId="0" fontId="20" fillId="7" borderId="5" xfId="2" applyFont="1" applyFill="1" applyBorder="1" applyAlignment="1">
      <alignment horizontal="right" vertical="top" wrapText="1"/>
    </xf>
    <xf numFmtId="4" fontId="20" fillId="7" borderId="5" xfId="2" applyNumberFormat="1" applyFont="1" applyFill="1" applyBorder="1" applyAlignment="1">
      <alignment horizontal="right" vertical="top" wrapText="1"/>
    </xf>
    <xf numFmtId="0" fontId="18" fillId="7" borderId="5" xfId="2" applyFont="1" applyFill="1" applyBorder="1" applyAlignment="1">
      <alignment horizontal="left" vertical="top" wrapText="1" indent="2"/>
    </xf>
    <xf numFmtId="0" fontId="18" fillId="7" borderId="5" xfId="2" applyFont="1" applyFill="1" applyBorder="1" applyAlignment="1">
      <alignment horizontal="right" vertical="top" wrapText="1"/>
    </xf>
    <xf numFmtId="4" fontId="18" fillId="7" borderId="5" xfId="2" applyNumberFormat="1" applyFont="1" applyFill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3"/>
    </xf>
    <xf numFmtId="0" fontId="18" fillId="0" borderId="5" xfId="2" applyFont="1" applyBorder="1" applyAlignment="1">
      <alignment horizontal="right" vertical="top" wrapText="1"/>
    </xf>
    <xf numFmtId="2" fontId="21" fillId="0" borderId="5" xfId="2" applyNumberFormat="1" applyFont="1" applyBorder="1" applyAlignment="1">
      <alignment horizontal="right" vertical="top" wrapText="1"/>
    </xf>
    <xf numFmtId="4" fontId="21" fillId="0" borderId="5" xfId="2" applyNumberFormat="1" applyFont="1" applyBorder="1" applyAlignment="1">
      <alignment horizontal="right" vertical="top" wrapText="1"/>
    </xf>
    <xf numFmtId="0" fontId="18" fillId="0" borderId="5" xfId="2" applyFont="1" applyBorder="1" applyAlignment="1">
      <alignment horizontal="left" vertical="top" wrapText="1" indent="2"/>
    </xf>
    <xf numFmtId="4" fontId="7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49" fontId="12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8" fillId="0" borderId="5" xfId="5" applyFont="1" applyBorder="1" applyAlignment="1">
      <alignment horizontal="left" vertical="top" wrapText="1" indent="2"/>
    </xf>
    <xf numFmtId="0" fontId="18" fillId="0" borderId="5" xfId="5" applyFont="1" applyBorder="1" applyAlignment="1">
      <alignment horizontal="right" vertical="top" wrapText="1"/>
    </xf>
    <xf numFmtId="4" fontId="18" fillId="0" borderId="5" xfId="5" applyNumberFormat="1" applyFont="1" applyBorder="1" applyAlignment="1">
      <alignment horizontal="right" vertical="top" wrapText="1"/>
    </xf>
    <xf numFmtId="2" fontId="18" fillId="0" borderId="5" xfId="5" applyNumberFormat="1" applyFont="1" applyBorder="1" applyAlignment="1">
      <alignment horizontal="right" vertical="top" wrapText="1"/>
    </xf>
    <xf numFmtId="49" fontId="12" fillId="10" borderId="1" xfId="0" applyNumberFormat="1" applyFont="1" applyFill="1" applyBorder="1" applyAlignment="1">
      <alignment horizontal="left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11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/>
    </xf>
    <xf numFmtId="3" fontId="12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4" fontId="7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/>
    </xf>
    <xf numFmtId="3" fontId="10" fillId="11" borderId="1" xfId="0" applyNumberFormat="1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left" vertical="center" wrapText="1" indent="2"/>
    </xf>
    <xf numFmtId="49" fontId="7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3" fillId="8" borderId="0" xfId="0" applyNumberFormat="1" applyFont="1" applyFill="1"/>
    <xf numFmtId="0" fontId="6" fillId="8" borderId="0" xfId="0" applyFont="1" applyFill="1"/>
    <xf numFmtId="0" fontId="15" fillId="0" borderId="1" xfId="0" applyFont="1" applyBorder="1" applyAlignment="1">
      <alignment vertical="center" wrapText="1"/>
    </xf>
    <xf numFmtId="4" fontId="6" fillId="8" borderId="0" xfId="0" applyNumberFormat="1" applyFont="1" applyFill="1"/>
    <xf numFmtId="4" fontId="7" fillId="0" borderId="0" xfId="0" applyNumberFormat="1" applyFont="1" applyAlignment="1">
      <alignment horizontal="center" vertical="center"/>
    </xf>
    <xf numFmtId="49" fontId="7" fillId="8" borderId="1" xfId="0" applyNumberFormat="1" applyFont="1" applyFill="1" applyBorder="1" applyAlignment="1">
      <alignment horizontal="left" vertical="center" wrapText="1"/>
    </xf>
    <xf numFmtId="4" fontId="1" fillId="0" borderId="9" xfId="6" applyNumberFormat="1" applyBorder="1" applyAlignment="1">
      <alignment horizontal="center"/>
    </xf>
    <xf numFmtId="0" fontId="25" fillId="7" borderId="17" xfId="8" applyFont="1" applyFill="1" applyBorder="1" applyAlignment="1">
      <alignment horizontal="left" vertical="top"/>
    </xf>
    <xf numFmtId="0" fontId="24" fillId="7" borderId="17" xfId="8" applyFont="1" applyFill="1" applyBorder="1" applyAlignment="1">
      <alignment horizontal="left" vertical="top"/>
    </xf>
    <xf numFmtId="164" fontId="24" fillId="7" borderId="17" xfId="8" applyNumberFormat="1" applyFont="1" applyFill="1" applyBorder="1" applyAlignment="1">
      <alignment horizontal="left" vertical="top"/>
    </xf>
    <xf numFmtId="4" fontId="24" fillId="7" borderId="17" xfId="8" applyNumberFormat="1" applyFont="1" applyFill="1" applyBorder="1" applyAlignment="1">
      <alignment horizontal="right" vertical="top"/>
    </xf>
    <xf numFmtId="0" fontId="25" fillId="7" borderId="17" xfId="9" applyFont="1" applyFill="1" applyBorder="1" applyAlignment="1">
      <alignment horizontal="left" vertical="top"/>
    </xf>
    <xf numFmtId="0" fontId="24" fillId="7" borderId="17" xfId="9" applyFont="1" applyFill="1" applyBorder="1" applyAlignment="1">
      <alignment horizontal="left" vertical="top"/>
    </xf>
    <xf numFmtId="164" fontId="24" fillId="7" borderId="17" xfId="9" applyNumberFormat="1" applyFont="1" applyFill="1" applyBorder="1" applyAlignment="1">
      <alignment horizontal="left" vertical="top"/>
    </xf>
    <xf numFmtId="2" fontId="24" fillId="7" borderId="17" xfId="9" applyNumberFormat="1" applyFont="1" applyFill="1" applyBorder="1" applyAlignment="1">
      <alignment horizontal="right" vertical="top"/>
    </xf>
    <xf numFmtId="4" fontId="24" fillId="7" borderId="17" xfId="9" applyNumberFormat="1" applyFont="1" applyFill="1" applyBorder="1" applyAlignment="1">
      <alignment horizontal="right" vertical="top"/>
    </xf>
    <xf numFmtId="0" fontId="25" fillId="7" borderId="17" xfId="10" applyFont="1" applyFill="1" applyBorder="1" applyAlignment="1">
      <alignment horizontal="left" vertical="top"/>
    </xf>
    <xf numFmtId="0" fontId="24" fillId="7" borderId="17" xfId="10" applyFont="1" applyFill="1" applyBorder="1" applyAlignment="1">
      <alignment horizontal="left" vertical="top"/>
    </xf>
    <xf numFmtId="164" fontId="24" fillId="7" borderId="17" xfId="10" applyNumberFormat="1" applyFont="1" applyFill="1" applyBorder="1" applyAlignment="1">
      <alignment horizontal="left" vertical="top"/>
    </xf>
    <xf numFmtId="4" fontId="24" fillId="7" borderId="17" xfId="10" applyNumberFormat="1" applyFont="1" applyFill="1" applyBorder="1" applyAlignment="1">
      <alignment horizontal="right" vertical="top"/>
    </xf>
    <xf numFmtId="2" fontId="24" fillId="7" borderId="17" xfId="10" applyNumberFormat="1" applyFont="1" applyFill="1" applyBorder="1" applyAlignment="1">
      <alignment horizontal="right" vertical="top"/>
    </xf>
    <xf numFmtId="4" fontId="24" fillId="12" borderId="17" xfId="1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2" fillId="0" borderId="0" xfId="0" applyNumberFormat="1" applyFont="1"/>
    <xf numFmtId="0" fontId="33" fillId="0" borderId="0" xfId="0" applyFont="1"/>
    <xf numFmtId="49" fontId="30" fillId="0" borderId="1" xfId="0" applyNumberFormat="1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4" fontId="34" fillId="0" borderId="0" xfId="0" applyNumberFormat="1" applyFont="1"/>
    <xf numFmtId="0" fontId="34" fillId="0" borderId="0" xfId="0" applyFont="1"/>
    <xf numFmtId="4" fontId="33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 indent="3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right" vertical="center"/>
    </xf>
    <xf numFmtId="4" fontId="6" fillId="0" borderId="0" xfId="0" applyNumberFormat="1" applyFont="1" applyFill="1"/>
    <xf numFmtId="0" fontId="13" fillId="0" borderId="1" xfId="0" applyFon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7" fontId="0" fillId="0" borderId="0" xfId="0" applyNumberFormat="1"/>
    <xf numFmtId="4" fontId="19" fillId="0" borderId="0" xfId="0" applyNumberFormat="1" applyFont="1"/>
    <xf numFmtId="0" fontId="19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36" fillId="0" borderId="0" xfId="0" applyNumberFormat="1" applyFont="1" applyFill="1"/>
    <xf numFmtId="0" fontId="36" fillId="0" borderId="0" xfId="0" applyFont="1" applyFill="1"/>
    <xf numFmtId="0" fontId="27" fillId="0" borderId="0" xfId="0" applyFont="1" applyFill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" fontId="37" fillId="0" borderId="0" xfId="0" applyNumberFormat="1" applyFont="1" applyFill="1"/>
    <xf numFmtId="0" fontId="38" fillId="0" borderId="0" xfId="0" applyFont="1" applyFill="1"/>
    <xf numFmtId="4" fontId="37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4" fontId="38" fillId="0" borderId="0" xfId="0" applyNumberFormat="1" applyFont="1" applyFill="1"/>
  </cellXfs>
  <cellStyles count="11">
    <cellStyle name="Обычный" xfId="0" builtinId="0"/>
    <cellStyle name="Обычный 2" xfId="3" xr:uid="{00000000-0005-0000-0000-000001000000}"/>
    <cellStyle name="Обычный 2 2" xfId="7" xr:uid="{00000000-0005-0000-0000-000002000000}"/>
    <cellStyle name="Обычный 3" xfId="1" xr:uid="{00000000-0005-0000-0000-000003000000}"/>
    <cellStyle name="Обычный 4" xfId="4" xr:uid="{00000000-0005-0000-0000-000004000000}"/>
    <cellStyle name="Обычный 5" xfId="6" xr:uid="{00000000-0005-0000-0000-000005000000}"/>
    <cellStyle name="Обычный_Лист1" xfId="5" xr:uid="{00000000-0005-0000-0000-000006000000}"/>
    <cellStyle name="Обычный_Лист3" xfId="8" xr:uid="{00000000-0005-0000-0000-000007000000}"/>
    <cellStyle name="Обычный_Лист4" xfId="9" xr:uid="{00000000-0005-0000-0000-000008000000}"/>
    <cellStyle name="Обычный_Лист5" xfId="10" xr:uid="{00000000-0005-0000-0000-000009000000}"/>
    <cellStyle name="Обычный_нагорная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4"/>
  <sheetViews>
    <sheetView zoomScale="85" zoomScaleNormal="85" workbookViewId="0">
      <pane xSplit="3" ySplit="7" topLeftCell="R159" activePane="bottomRight" state="frozen"/>
      <selection pane="topRight" activeCell="D1" sqref="D1"/>
      <selection pane="bottomLeft" activeCell="A8" sqref="A8"/>
      <selection pane="bottomRight" activeCell="AI162" sqref="AI162"/>
    </sheetView>
  </sheetViews>
  <sheetFormatPr defaultColWidth="9" defaultRowHeight="15.75" outlineLevelRow="1" outlineLevelCol="1" x14ac:dyDescent="0.25"/>
  <cols>
    <col min="1" max="1" width="10.125" style="2" customWidth="1"/>
    <col min="2" max="2" width="34.25" style="4" customWidth="1"/>
    <col min="3" max="3" width="8" style="5" customWidth="1"/>
    <col min="4" max="4" width="52.625" style="5" customWidth="1"/>
    <col min="5" max="15" width="27" style="23" customWidth="1"/>
    <col min="16" max="16" width="26.875" style="23" customWidth="1"/>
    <col min="17" max="20" width="27" style="23" customWidth="1"/>
    <col min="21" max="31" width="27" style="23" hidden="1" customWidth="1" outlineLevel="1"/>
    <col min="32" max="32" width="15.875" style="77" customWidth="1" collapsed="1"/>
    <col min="33" max="33" width="15.875" style="77" customWidth="1"/>
    <col min="34" max="34" width="19.625" style="2" customWidth="1"/>
    <col min="35" max="16384" width="9" style="2"/>
  </cols>
  <sheetData>
    <row r="1" spans="1:34" ht="44.25" customHeight="1" x14ac:dyDescent="0.25">
      <c r="A1" s="214" t="s">
        <v>2331</v>
      </c>
      <c r="B1" s="214"/>
      <c r="C1" s="214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4" ht="44.25" customHeight="1" x14ac:dyDescent="0.25">
      <c r="A2" s="215" t="s">
        <v>2325</v>
      </c>
      <c r="B2" s="215"/>
      <c r="C2" s="215"/>
      <c r="D2" s="154">
        <v>18137.7</v>
      </c>
      <c r="E2" s="155">
        <v>4435.8</v>
      </c>
      <c r="F2" s="155">
        <v>4452.2</v>
      </c>
      <c r="G2" s="155">
        <v>4452.2</v>
      </c>
      <c r="H2" s="155">
        <v>4452.2</v>
      </c>
      <c r="I2" s="155">
        <v>4452.2</v>
      </c>
      <c r="J2" s="155">
        <v>4452.2</v>
      </c>
      <c r="K2" s="155">
        <v>3222.2</v>
      </c>
      <c r="L2" s="155">
        <v>3169.3</v>
      </c>
      <c r="M2" s="155">
        <v>653.20000000000005</v>
      </c>
      <c r="N2" s="155">
        <v>126.6</v>
      </c>
      <c r="O2" s="155">
        <v>136.9</v>
      </c>
      <c r="P2" s="155">
        <v>175.8</v>
      </c>
      <c r="Q2" s="155">
        <v>440.5</v>
      </c>
      <c r="R2" s="155">
        <v>454.4</v>
      </c>
      <c r="S2" s="155">
        <v>437.6</v>
      </c>
      <c r="T2" s="155">
        <v>433.2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4" ht="79.5" customHeight="1" x14ac:dyDescent="0.25">
      <c r="A3" s="216" t="s">
        <v>0</v>
      </c>
      <c r="B3" s="217"/>
      <c r="C3" s="218"/>
      <c r="D3" s="34" t="s">
        <v>146</v>
      </c>
      <c r="E3" s="8" t="s">
        <v>2313</v>
      </c>
      <c r="F3" s="8" t="s">
        <v>2314</v>
      </c>
      <c r="G3" s="8" t="s">
        <v>2326</v>
      </c>
      <c r="H3" s="8" t="s">
        <v>2327</v>
      </c>
      <c r="I3" s="8" t="s">
        <v>2328</v>
      </c>
      <c r="J3" s="8" t="s">
        <v>2329</v>
      </c>
      <c r="K3" s="8" t="s">
        <v>2315</v>
      </c>
      <c r="L3" s="8" t="s">
        <v>2316</v>
      </c>
      <c r="M3" s="8" t="s">
        <v>2317</v>
      </c>
      <c r="N3" s="8" t="s">
        <v>2318</v>
      </c>
      <c r="O3" s="8" t="s">
        <v>2319</v>
      </c>
      <c r="P3" s="8" t="s">
        <v>2320</v>
      </c>
      <c r="Q3" s="8" t="s">
        <v>2321</v>
      </c>
      <c r="R3" s="8" t="s">
        <v>2322</v>
      </c>
      <c r="S3" s="8" t="s">
        <v>2323</v>
      </c>
      <c r="T3" s="8" t="s">
        <v>2324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4" ht="21" x14ac:dyDescent="0.25">
      <c r="A4" s="6" t="s">
        <v>1</v>
      </c>
      <c r="B4" s="11" t="s">
        <v>129</v>
      </c>
      <c r="C4" s="7" t="s">
        <v>2</v>
      </c>
      <c r="D4" s="39" t="s">
        <v>293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4" x14ac:dyDescent="0.25">
      <c r="A5" s="9" t="s">
        <v>3</v>
      </c>
      <c r="B5" s="10" t="s">
        <v>35</v>
      </c>
      <c r="C5" s="15" t="s">
        <v>4</v>
      </c>
      <c r="D5" s="38" t="s">
        <v>294</v>
      </c>
      <c r="E5" s="25">
        <v>43913</v>
      </c>
      <c r="F5" s="25">
        <v>43913</v>
      </c>
      <c r="G5" s="25">
        <v>43913</v>
      </c>
      <c r="H5" s="25">
        <v>43913</v>
      </c>
      <c r="I5" s="25">
        <v>43913</v>
      </c>
      <c r="J5" s="25">
        <v>43913</v>
      </c>
      <c r="K5" s="25">
        <v>43913</v>
      </c>
      <c r="L5" s="25">
        <v>43913</v>
      </c>
      <c r="M5" s="25">
        <v>43913</v>
      </c>
      <c r="N5" s="25">
        <v>43913</v>
      </c>
      <c r="O5" s="25">
        <v>43913</v>
      </c>
      <c r="P5" s="25">
        <v>43913</v>
      </c>
      <c r="Q5" s="25">
        <v>43913</v>
      </c>
      <c r="R5" s="25">
        <v>43913</v>
      </c>
      <c r="S5" s="25">
        <v>43913</v>
      </c>
      <c r="T5" s="25">
        <v>43913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4" x14ac:dyDescent="0.25">
      <c r="A6" s="9" t="s">
        <v>5</v>
      </c>
      <c r="B6" s="10" t="s">
        <v>36</v>
      </c>
      <c r="C6" s="15" t="s">
        <v>4</v>
      </c>
      <c r="D6" s="40" t="s">
        <v>295</v>
      </c>
      <c r="E6" s="25">
        <v>43466</v>
      </c>
      <c r="F6" s="25">
        <v>43466</v>
      </c>
      <c r="G6" s="157">
        <v>43647</v>
      </c>
      <c r="H6" s="157">
        <v>43647</v>
      </c>
      <c r="I6" s="157">
        <v>43647</v>
      </c>
      <c r="J6" s="25">
        <v>43466</v>
      </c>
      <c r="K6" s="25">
        <v>43466</v>
      </c>
      <c r="L6" s="25">
        <v>43466</v>
      </c>
      <c r="M6" s="25">
        <v>43466</v>
      </c>
      <c r="N6" s="25">
        <v>43466</v>
      </c>
      <c r="O6" s="25">
        <v>43466</v>
      </c>
      <c r="P6" s="25">
        <v>43466</v>
      </c>
      <c r="Q6" s="25">
        <v>43466</v>
      </c>
      <c r="R6" s="25">
        <v>43466</v>
      </c>
      <c r="S6" s="25">
        <v>43466</v>
      </c>
      <c r="T6" s="25">
        <v>43466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4" x14ac:dyDescent="0.25">
      <c r="A7" s="9" t="s">
        <v>6</v>
      </c>
      <c r="B7" s="10" t="s">
        <v>37</v>
      </c>
      <c r="C7" s="15" t="s">
        <v>4</v>
      </c>
      <c r="D7" s="43" t="s">
        <v>296</v>
      </c>
      <c r="E7" s="25">
        <v>43830</v>
      </c>
      <c r="F7" s="25">
        <v>43830</v>
      </c>
      <c r="G7" s="25">
        <v>43830</v>
      </c>
      <c r="H7" s="25">
        <v>43830</v>
      </c>
      <c r="I7" s="25">
        <v>43830</v>
      </c>
      <c r="J7" s="25">
        <v>43830</v>
      </c>
      <c r="K7" s="25">
        <v>43830</v>
      </c>
      <c r="L7" s="25">
        <v>43830</v>
      </c>
      <c r="M7" s="25">
        <v>43830</v>
      </c>
      <c r="N7" s="25">
        <v>43830</v>
      </c>
      <c r="O7" s="25">
        <v>43830</v>
      </c>
      <c r="P7" s="25">
        <v>43830</v>
      </c>
      <c r="Q7" s="25">
        <v>43830</v>
      </c>
      <c r="R7" s="25">
        <v>43830</v>
      </c>
      <c r="S7" s="25">
        <v>43830</v>
      </c>
      <c r="T7" s="25">
        <v>43830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4" s="3" customFormat="1" ht="53.25" customHeight="1" x14ac:dyDescent="0.25">
      <c r="A8" s="213" t="s">
        <v>41</v>
      </c>
      <c r="B8" s="213"/>
      <c r="C8" s="213"/>
      <c r="D8" s="3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78"/>
      <c r="AG8" s="78"/>
    </row>
    <row r="9" spans="1:34" ht="76.5" x14ac:dyDescent="0.25">
      <c r="A9" s="9" t="s">
        <v>7</v>
      </c>
      <c r="B9" s="10" t="s">
        <v>42</v>
      </c>
      <c r="C9" s="15" t="s">
        <v>38</v>
      </c>
      <c r="D9" s="33" t="s">
        <v>147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4" ht="76.5" x14ac:dyDescent="0.25">
      <c r="A10" s="9" t="s">
        <v>8</v>
      </c>
      <c r="B10" s="10" t="s">
        <v>43</v>
      </c>
      <c r="C10" s="15" t="s">
        <v>38</v>
      </c>
      <c r="D10" s="33" t="s">
        <v>148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4" ht="63.75" x14ac:dyDescent="0.25">
      <c r="A11" s="9" t="s">
        <v>9</v>
      </c>
      <c r="B11" s="37" t="s">
        <v>44</v>
      </c>
      <c r="C11" s="15" t="s">
        <v>38</v>
      </c>
      <c r="D11" s="33" t="s">
        <v>149</v>
      </c>
      <c r="E11" s="71">
        <v>169447.56</v>
      </c>
      <c r="F11" s="71">
        <v>170074.04</v>
      </c>
      <c r="G11" s="71">
        <v>0</v>
      </c>
      <c r="H11" s="71">
        <v>0</v>
      </c>
      <c r="I11" s="71">
        <v>0</v>
      </c>
      <c r="J11" s="71">
        <v>0</v>
      </c>
      <c r="K11" s="71">
        <v>80232.78</v>
      </c>
      <c r="L11" s="71">
        <v>78915.570000000007</v>
      </c>
      <c r="M11" s="71">
        <v>16264.68</v>
      </c>
      <c r="N11" s="71">
        <v>2668.72</v>
      </c>
      <c r="O11" s="71">
        <v>2885.85</v>
      </c>
      <c r="P11" s="71">
        <v>3705.86</v>
      </c>
      <c r="Q11" s="71">
        <v>10968.45</v>
      </c>
      <c r="R11" s="71">
        <v>11314.56</v>
      </c>
      <c r="S11" s="71">
        <v>10896.24</v>
      </c>
      <c r="T11" s="71">
        <v>10786.68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4" ht="51" x14ac:dyDescent="0.25">
      <c r="A12" s="9" t="s">
        <v>10</v>
      </c>
      <c r="B12" s="35" t="s">
        <v>45</v>
      </c>
      <c r="C12" s="15" t="s">
        <v>38</v>
      </c>
      <c r="D12" s="33" t="s">
        <v>150</v>
      </c>
      <c r="E12" s="73">
        <f>848534+142655.27*6</f>
        <v>1704465.6199999999</v>
      </c>
      <c r="F12" s="73">
        <f>859096.74+143182.8+141437.5+143025.21+142938.38*3</f>
        <v>1715557.3900000001</v>
      </c>
      <c r="G12" s="73">
        <f>61763.13*5+141457.46</f>
        <v>450273.11</v>
      </c>
      <c r="H12" s="73">
        <f>32821.86+75172.64+32821.86*2+32727.77*2</f>
        <v>239093.76000000001</v>
      </c>
      <c r="I12" s="73">
        <f>75340.29+172553.53+75340.29+75340.3+75340.29*2</f>
        <v>549254.99</v>
      </c>
      <c r="J12" s="73">
        <v>0</v>
      </c>
      <c r="K12" s="73">
        <f>419917.14+68989.89+68410.5+69024.64+69024.64*3</f>
        <v>833416.09000000008</v>
      </c>
      <c r="L12" s="73">
        <f>413023.2+68837.2+68244.67+67649.04+68233.38*3</f>
        <v>822454.25000000012</v>
      </c>
      <c r="M12" s="73">
        <f>83680.76+14187.51*6</f>
        <v>168805.82</v>
      </c>
      <c r="N12" s="73">
        <f>-2668.72</f>
        <v>-2668.72</v>
      </c>
      <c r="O12" s="73">
        <v>-2885.85</v>
      </c>
      <c r="P12" s="73">
        <v>-3705.86</v>
      </c>
      <c r="Q12" s="73">
        <f>57406.02+9567.67*6</f>
        <v>114812.04000000001</v>
      </c>
      <c r="R12" s="73">
        <f>59217.42+9869.57*6</f>
        <v>118434.84</v>
      </c>
      <c r="S12" s="73">
        <f>57028.02+9504.67*2+9499.64+9504.67*3</f>
        <v>114051.01000000001</v>
      </c>
      <c r="T12" s="73">
        <f>56454.6+9409.1*6</f>
        <v>112909.20000000001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H12" s="77"/>
    </row>
    <row r="13" spans="1:34" ht="63.75" x14ac:dyDescent="0.25">
      <c r="A13" s="9" t="s">
        <v>11</v>
      </c>
      <c r="B13" s="12" t="s">
        <v>130</v>
      </c>
      <c r="C13" s="15" t="s">
        <v>38</v>
      </c>
      <c r="D13" s="33" t="s">
        <v>151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4" ht="54.75" customHeight="1" x14ac:dyDescent="0.25">
      <c r="A14" s="9" t="s">
        <v>12</v>
      </c>
      <c r="B14" s="12" t="s">
        <v>131</v>
      </c>
      <c r="C14" s="15" t="s">
        <v>38</v>
      </c>
      <c r="D14" s="33" t="s">
        <v>152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4" ht="63.75" x14ac:dyDescent="0.25">
      <c r="A15" s="9" t="s">
        <v>13</v>
      </c>
      <c r="B15" s="12" t="s">
        <v>132</v>
      </c>
      <c r="C15" s="15" t="s">
        <v>38</v>
      </c>
      <c r="D15" s="33" t="s">
        <v>153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4" ht="51" x14ac:dyDescent="0.25">
      <c r="A16" s="9" t="s">
        <v>14</v>
      </c>
      <c r="B16" s="10" t="s">
        <v>46</v>
      </c>
      <c r="C16" s="15" t="s">
        <v>38</v>
      </c>
      <c r="D16" s="33" t="s">
        <v>154</v>
      </c>
      <c r="E16" s="26">
        <f>SUM(E17:E21)</f>
        <v>1626339.0899999999</v>
      </c>
      <c r="F16" s="26">
        <f t="shared" ref="F16:T16" si="0">SUM(F17:F21)</f>
        <v>1596405.4600000002</v>
      </c>
      <c r="G16" s="26">
        <f t="shared" ref="G16:J16" si="1">SUM(G17:G21)</f>
        <v>154601.58999999997</v>
      </c>
      <c r="H16" s="26">
        <f t="shared" si="1"/>
        <v>116245.04000000001</v>
      </c>
      <c r="I16" s="26">
        <f t="shared" si="1"/>
        <v>382167.43</v>
      </c>
      <c r="J16" s="26">
        <f t="shared" si="1"/>
        <v>0</v>
      </c>
      <c r="K16" s="26">
        <f t="shared" si="0"/>
        <v>742441.02000000014</v>
      </c>
      <c r="L16" s="26">
        <f t="shared" si="0"/>
        <v>761888.07000000007</v>
      </c>
      <c r="M16" s="26">
        <f t="shared" si="0"/>
        <v>169416.75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109814.86</v>
      </c>
      <c r="R16" s="26">
        <f t="shared" si="0"/>
        <v>115310.90999999999</v>
      </c>
      <c r="S16" s="26">
        <f t="shared" si="0"/>
        <v>111448.62000000001</v>
      </c>
      <c r="T16" s="26">
        <f t="shared" si="0"/>
        <v>101986.63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 ht="76.5" x14ac:dyDescent="0.25">
      <c r="A17" s="9" t="s">
        <v>15</v>
      </c>
      <c r="B17" s="12" t="s">
        <v>133</v>
      </c>
      <c r="C17" s="15" t="s">
        <v>38</v>
      </c>
      <c r="D17" s="33" t="s">
        <v>155</v>
      </c>
      <c r="E17" s="26">
        <f>E11+E12-E25-E20</f>
        <v>1626339.0899999999</v>
      </c>
      <c r="F17" s="26">
        <f t="shared" ref="F17:T17" si="2">F11+F12-F25-F20</f>
        <v>1596405.4600000002</v>
      </c>
      <c r="G17" s="26">
        <f t="shared" ref="G17:J17" si="3">G11+G12-G25-G20</f>
        <v>154601.58999999997</v>
      </c>
      <c r="H17" s="26">
        <f t="shared" si="3"/>
        <v>116245.04000000001</v>
      </c>
      <c r="I17" s="26">
        <f t="shared" si="3"/>
        <v>382167.43</v>
      </c>
      <c r="J17" s="26">
        <f t="shared" si="3"/>
        <v>0</v>
      </c>
      <c r="K17" s="26">
        <f t="shared" si="2"/>
        <v>742441.02000000014</v>
      </c>
      <c r="L17" s="26">
        <f t="shared" si="2"/>
        <v>761888.07000000007</v>
      </c>
      <c r="M17" s="26">
        <f t="shared" si="2"/>
        <v>169416.75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109814.86</v>
      </c>
      <c r="R17" s="26">
        <f t="shared" si="2"/>
        <v>115310.90999999999</v>
      </c>
      <c r="S17" s="26">
        <f t="shared" si="2"/>
        <v>111448.62000000001</v>
      </c>
      <c r="T17" s="26">
        <f t="shared" si="2"/>
        <v>101986.63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3" ht="89.25" x14ac:dyDescent="0.25">
      <c r="A18" s="9" t="s">
        <v>16</v>
      </c>
      <c r="B18" s="12" t="s">
        <v>134</v>
      </c>
      <c r="C18" s="15" t="s">
        <v>38</v>
      </c>
      <c r="D18" s="33" t="s">
        <v>156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3" ht="76.5" x14ac:dyDescent="0.25">
      <c r="A19" s="9" t="s">
        <v>17</v>
      </c>
      <c r="B19" s="12" t="s">
        <v>135</v>
      </c>
      <c r="C19" s="15" t="s">
        <v>38</v>
      </c>
      <c r="D19" s="33" t="s">
        <v>157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3" ht="76.5" x14ac:dyDescent="0.25">
      <c r="A20" s="9" t="s">
        <v>18</v>
      </c>
      <c r="B20" s="36" t="s">
        <v>136</v>
      </c>
      <c r="C20" s="15" t="s">
        <v>38</v>
      </c>
      <c r="D20" s="33" t="s">
        <v>158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</row>
    <row r="21" spans="1:33" ht="76.5" x14ac:dyDescent="0.25">
      <c r="A21" s="9" t="s">
        <v>19</v>
      </c>
      <c r="B21" s="12" t="s">
        <v>159</v>
      </c>
      <c r="C21" s="15" t="s">
        <v>38</v>
      </c>
      <c r="D21" s="33" t="s">
        <v>160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3" ht="63.75" x14ac:dyDescent="0.25">
      <c r="A22" s="9" t="s">
        <v>20</v>
      </c>
      <c r="B22" s="10" t="s">
        <v>47</v>
      </c>
      <c r="C22" s="15" t="s">
        <v>38</v>
      </c>
      <c r="D22" s="33" t="s">
        <v>161</v>
      </c>
      <c r="E22" s="26">
        <f>E16</f>
        <v>1626339.0899999999</v>
      </c>
      <c r="F22" s="26">
        <f t="shared" ref="F22:T22" si="4">F16</f>
        <v>1596405.4600000002</v>
      </c>
      <c r="G22" s="26">
        <f t="shared" ref="G22:J22" si="5">G16</f>
        <v>154601.58999999997</v>
      </c>
      <c r="H22" s="26">
        <f t="shared" si="5"/>
        <v>116245.04000000001</v>
      </c>
      <c r="I22" s="26">
        <f t="shared" si="5"/>
        <v>382167.43</v>
      </c>
      <c r="J22" s="26">
        <f t="shared" si="5"/>
        <v>0</v>
      </c>
      <c r="K22" s="26">
        <f t="shared" si="4"/>
        <v>742441.02000000014</v>
      </c>
      <c r="L22" s="26">
        <f t="shared" si="4"/>
        <v>761888.07000000007</v>
      </c>
      <c r="M22" s="26">
        <f t="shared" si="4"/>
        <v>169416.75</v>
      </c>
      <c r="N22" s="26">
        <f t="shared" si="4"/>
        <v>0</v>
      </c>
      <c r="O22" s="26">
        <f t="shared" si="4"/>
        <v>0</v>
      </c>
      <c r="P22" s="26">
        <f t="shared" si="4"/>
        <v>0</v>
      </c>
      <c r="Q22" s="26">
        <f t="shared" si="4"/>
        <v>109814.86</v>
      </c>
      <c r="R22" s="26">
        <f t="shared" si="4"/>
        <v>115310.90999999999</v>
      </c>
      <c r="S22" s="26">
        <f t="shared" si="4"/>
        <v>111448.62000000001</v>
      </c>
      <c r="T22" s="26">
        <f t="shared" si="4"/>
        <v>101986.63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3" ht="63.75" x14ac:dyDescent="0.25">
      <c r="A23" s="9" t="s">
        <v>21</v>
      </c>
      <c r="B23" s="10" t="s">
        <v>48</v>
      </c>
      <c r="C23" s="15" t="s">
        <v>38</v>
      </c>
      <c r="D23" s="33" t="s">
        <v>162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3" ht="76.5" x14ac:dyDescent="0.25">
      <c r="A24" s="9" t="s">
        <v>22</v>
      </c>
      <c r="B24" s="10" t="s">
        <v>49</v>
      </c>
      <c r="C24" s="15" t="s">
        <v>38</v>
      </c>
      <c r="D24" s="33" t="s">
        <v>163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3" ht="51" x14ac:dyDescent="0.25">
      <c r="A25" s="9" t="s">
        <v>23</v>
      </c>
      <c r="B25" s="37" t="s">
        <v>50</v>
      </c>
      <c r="C25" s="15" t="s">
        <v>38</v>
      </c>
      <c r="D25" s="33" t="s">
        <v>164</v>
      </c>
      <c r="E25" s="71">
        <f>249091.8-1517.71</f>
        <v>247574.09</v>
      </c>
      <c r="F25" s="71">
        <f>289430.84-204.87</f>
        <v>289225.97000000003</v>
      </c>
      <c r="G25" s="71">
        <f>295671.82-0.3</f>
        <v>295671.52</v>
      </c>
      <c r="H25" s="71">
        <f>122871.56-22.84</f>
        <v>122848.72</v>
      </c>
      <c r="I25" s="71">
        <f>167107.62-20.06</f>
        <v>167087.56</v>
      </c>
      <c r="J25" s="71">
        <v>0</v>
      </c>
      <c r="K25" s="71">
        <f>171638.84-430.99</f>
        <v>171207.85</v>
      </c>
      <c r="L25" s="71">
        <f>139512.5-30.75</f>
        <v>139481.75</v>
      </c>
      <c r="M25" s="71">
        <f>15654.27-0.52</f>
        <v>15653.75</v>
      </c>
      <c r="N25" s="71">
        <v>0</v>
      </c>
      <c r="O25" s="71">
        <v>0</v>
      </c>
      <c r="P25" s="71">
        <v>0</v>
      </c>
      <c r="Q25" s="71">
        <v>15965.63</v>
      </c>
      <c r="R25" s="71">
        <v>14438.49</v>
      </c>
      <c r="S25" s="71">
        <f>13498.66-0.03</f>
        <v>13498.63</v>
      </c>
      <c r="T25" s="71">
        <f>21710.02-0.77</f>
        <v>21709.25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3" ht="43.5" customHeight="1" x14ac:dyDescent="0.25">
      <c r="A26" s="213" t="s">
        <v>137</v>
      </c>
      <c r="B26" s="213"/>
      <c r="C26" s="213"/>
      <c r="D26" s="3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 s="1" customFormat="1" ht="63.75" x14ac:dyDescent="0.25">
      <c r="A27" s="20" t="s">
        <v>202</v>
      </c>
      <c r="B27" s="89" t="s">
        <v>39</v>
      </c>
      <c r="C27" s="90" t="s">
        <v>4</v>
      </c>
      <c r="D27" s="91" t="s">
        <v>216</v>
      </c>
      <c r="E27" s="92" t="s">
        <v>354</v>
      </c>
      <c r="F27" s="13" t="s">
        <v>354</v>
      </c>
      <c r="G27" s="13" t="s">
        <v>354</v>
      </c>
      <c r="H27" s="13" t="s">
        <v>354</v>
      </c>
      <c r="I27" s="13" t="s">
        <v>354</v>
      </c>
      <c r="J27" s="13" t="s">
        <v>354</v>
      </c>
      <c r="K27" s="13" t="s">
        <v>354</v>
      </c>
      <c r="L27" s="13" t="s">
        <v>354</v>
      </c>
      <c r="M27" s="13" t="s">
        <v>354</v>
      </c>
      <c r="N27" s="13" t="s">
        <v>354</v>
      </c>
      <c r="O27" s="13" t="s">
        <v>354</v>
      </c>
      <c r="P27" s="13" t="s">
        <v>354</v>
      </c>
      <c r="Q27" s="13" t="s">
        <v>354</v>
      </c>
      <c r="R27" s="13" t="s">
        <v>354</v>
      </c>
      <c r="S27" s="13" t="s">
        <v>354</v>
      </c>
      <c r="T27" s="13" t="s">
        <v>354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79"/>
      <c r="AG27" s="79"/>
    </row>
    <row r="28" spans="1:33" s="76" customFormat="1" ht="25.5" x14ac:dyDescent="0.25">
      <c r="A28" s="9" t="s">
        <v>203</v>
      </c>
      <c r="B28" s="15" t="s">
        <v>51</v>
      </c>
      <c r="C28" s="15" t="s">
        <v>38</v>
      </c>
      <c r="D28" s="34" t="s">
        <v>217</v>
      </c>
      <c r="E28" s="31">
        <v>0</v>
      </c>
      <c r="F28" s="31">
        <v>8000</v>
      </c>
      <c r="G28" s="31">
        <v>45000</v>
      </c>
      <c r="H28" s="31">
        <v>0</v>
      </c>
      <c r="I28" s="31">
        <v>0</v>
      </c>
      <c r="J28" s="31">
        <v>0</v>
      </c>
      <c r="K28" s="31">
        <v>0</v>
      </c>
      <c r="L28" s="31">
        <v>170000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28000</v>
      </c>
      <c r="S28" s="31">
        <v>0</v>
      </c>
      <c r="T28" s="31">
        <v>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0"/>
      <c r="AG28" s="80"/>
    </row>
    <row r="29" spans="1:33" s="1" customFormat="1" ht="114.75" x14ac:dyDescent="0.25">
      <c r="A29" s="13" t="s">
        <v>165</v>
      </c>
      <c r="B29" s="11" t="s">
        <v>52</v>
      </c>
      <c r="C29" s="15" t="s">
        <v>4</v>
      </c>
      <c r="D29" s="33" t="s">
        <v>218</v>
      </c>
      <c r="E29" s="9" t="s">
        <v>355</v>
      </c>
      <c r="F29" s="9" t="s">
        <v>355</v>
      </c>
      <c r="G29" s="9" t="s">
        <v>355</v>
      </c>
      <c r="H29" s="9" t="s">
        <v>355</v>
      </c>
      <c r="I29" s="9" t="s">
        <v>355</v>
      </c>
      <c r="J29" s="9" t="s">
        <v>355</v>
      </c>
      <c r="K29" s="9" t="s">
        <v>355</v>
      </c>
      <c r="L29" s="9" t="s">
        <v>355</v>
      </c>
      <c r="M29" s="9" t="s">
        <v>355</v>
      </c>
      <c r="N29" s="9" t="s">
        <v>355</v>
      </c>
      <c r="O29" s="9" t="s">
        <v>355</v>
      </c>
      <c r="P29" s="9" t="s">
        <v>355</v>
      </c>
      <c r="Q29" s="9" t="s">
        <v>355</v>
      </c>
      <c r="R29" s="9" t="s">
        <v>355</v>
      </c>
      <c r="S29" s="9" t="s">
        <v>355</v>
      </c>
      <c r="T29" s="9" t="s">
        <v>355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79"/>
      <c r="AG29" s="79"/>
    </row>
    <row r="30" spans="1:33" s="1" customFormat="1" ht="25.5" x14ac:dyDescent="0.25">
      <c r="A30" s="18" t="s">
        <v>166</v>
      </c>
      <c r="B30" s="16" t="s">
        <v>53</v>
      </c>
      <c r="C30" s="15" t="s">
        <v>4</v>
      </c>
      <c r="D30" s="33" t="s">
        <v>201</v>
      </c>
      <c r="E30" s="9" t="s">
        <v>356</v>
      </c>
      <c r="F30" s="9" t="s">
        <v>356</v>
      </c>
      <c r="G30" s="9" t="s">
        <v>356</v>
      </c>
      <c r="H30" s="9" t="s">
        <v>356</v>
      </c>
      <c r="I30" s="9" t="s">
        <v>356</v>
      </c>
      <c r="J30" s="9" t="s">
        <v>356</v>
      </c>
      <c r="K30" s="9" t="s">
        <v>356</v>
      </c>
      <c r="L30" s="9" t="s">
        <v>356</v>
      </c>
      <c r="M30" s="9" t="s">
        <v>356</v>
      </c>
      <c r="N30" s="9" t="s">
        <v>356</v>
      </c>
      <c r="O30" s="9" t="s">
        <v>356</v>
      </c>
      <c r="P30" s="9" t="s">
        <v>356</v>
      </c>
      <c r="Q30" s="9" t="s">
        <v>356</v>
      </c>
      <c r="R30" s="9" t="s">
        <v>356</v>
      </c>
      <c r="S30" s="9" t="s">
        <v>356</v>
      </c>
      <c r="T30" s="9" t="s">
        <v>356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79"/>
      <c r="AG30" s="79"/>
    </row>
    <row r="31" spans="1:33" s="1" customFormat="1" x14ac:dyDescent="0.25">
      <c r="A31" s="9" t="s">
        <v>167</v>
      </c>
      <c r="B31" s="16" t="s">
        <v>2</v>
      </c>
      <c r="C31" s="15" t="s">
        <v>4</v>
      </c>
      <c r="D31" s="33" t="s">
        <v>201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17" t="s">
        <v>357</v>
      </c>
      <c r="J31" s="17" t="s">
        <v>357</v>
      </c>
      <c r="K31" s="17" t="s">
        <v>357</v>
      </c>
      <c r="L31" s="17" t="s">
        <v>357</v>
      </c>
      <c r="M31" s="17" t="s">
        <v>357</v>
      </c>
      <c r="N31" s="17" t="s">
        <v>357</v>
      </c>
      <c r="O31" s="17" t="s">
        <v>357</v>
      </c>
      <c r="P31" s="17" t="s">
        <v>357</v>
      </c>
      <c r="Q31" s="17" t="s">
        <v>357</v>
      </c>
      <c r="R31" s="17" t="s">
        <v>357</v>
      </c>
      <c r="S31" s="17" t="s">
        <v>357</v>
      </c>
      <c r="T31" s="17" t="s">
        <v>357</v>
      </c>
      <c r="U31" s="17"/>
      <c r="V31" s="17"/>
      <c r="W31" s="17"/>
      <c r="X31" s="17"/>
      <c r="Y31" s="17"/>
      <c r="Z31" s="17"/>
      <c r="AA31" s="32"/>
      <c r="AB31" s="17"/>
      <c r="AC31" s="17"/>
      <c r="AD31" s="17"/>
      <c r="AE31" s="32"/>
      <c r="AF31" s="79"/>
      <c r="AG31" s="79"/>
    </row>
    <row r="32" spans="1:33" s="76" customFormat="1" x14ac:dyDescent="0.25">
      <c r="A32" s="9" t="s">
        <v>168</v>
      </c>
      <c r="B32" s="15" t="s">
        <v>54</v>
      </c>
      <c r="C32" s="15" t="s">
        <v>38</v>
      </c>
      <c r="D32" s="34" t="s">
        <v>201</v>
      </c>
      <c r="E32" s="31">
        <f>E28/E$12</f>
        <v>0</v>
      </c>
      <c r="F32" s="31">
        <f t="shared" ref="F32:T32" si="6">F28/F$12</f>
        <v>4.6632074488630187E-3</v>
      </c>
      <c r="G32" s="31">
        <f t="shared" ref="G32:J32" si="7">G28/G$12</f>
        <v>9.9939345700657101E-2</v>
      </c>
      <c r="H32" s="31">
        <f t="shared" si="7"/>
        <v>0</v>
      </c>
      <c r="I32" s="31">
        <f t="shared" si="7"/>
        <v>0</v>
      </c>
      <c r="J32" s="31" t="e">
        <f t="shared" si="7"/>
        <v>#DIV/0!</v>
      </c>
      <c r="K32" s="31">
        <f t="shared" si="6"/>
        <v>0</v>
      </c>
      <c r="L32" s="31">
        <f t="shared" si="6"/>
        <v>0.20669842729853968</v>
      </c>
      <c r="M32" s="31">
        <f t="shared" si="6"/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>
        <f t="shared" si="6"/>
        <v>0</v>
      </c>
      <c r="R32" s="31">
        <f t="shared" si="6"/>
        <v>0.23641691921059715</v>
      </c>
      <c r="S32" s="31">
        <f t="shared" si="6"/>
        <v>0</v>
      </c>
      <c r="T32" s="31">
        <f t="shared" si="6"/>
        <v>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0"/>
      <c r="AG32" s="80"/>
    </row>
    <row r="33" spans="1:33" s="1" customFormat="1" ht="76.5" outlineLevel="1" x14ac:dyDescent="0.25">
      <c r="A33" s="20" t="s">
        <v>202</v>
      </c>
      <c r="B33" s="89" t="s">
        <v>39</v>
      </c>
      <c r="C33" s="90" t="s">
        <v>4</v>
      </c>
      <c r="D33" s="91" t="s">
        <v>216</v>
      </c>
      <c r="E33" s="93" t="s">
        <v>358</v>
      </c>
      <c r="F33" s="13" t="s">
        <v>358</v>
      </c>
      <c r="G33" s="13" t="s">
        <v>358</v>
      </c>
      <c r="H33" s="13" t="s">
        <v>358</v>
      </c>
      <c r="I33" s="13" t="s">
        <v>358</v>
      </c>
      <c r="J33" s="13" t="s">
        <v>358</v>
      </c>
      <c r="K33" s="13" t="s">
        <v>358</v>
      </c>
      <c r="L33" s="13" t="s">
        <v>358</v>
      </c>
      <c r="M33" s="13" t="s">
        <v>358</v>
      </c>
      <c r="N33" s="13" t="s">
        <v>358</v>
      </c>
      <c r="O33" s="13" t="s">
        <v>358</v>
      </c>
      <c r="P33" s="13" t="s">
        <v>358</v>
      </c>
      <c r="Q33" s="13" t="s">
        <v>358</v>
      </c>
      <c r="R33" s="13" t="s">
        <v>358</v>
      </c>
      <c r="S33" s="13" t="s">
        <v>358</v>
      </c>
      <c r="T33" s="13" t="s">
        <v>358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79"/>
      <c r="AG33" s="79"/>
    </row>
    <row r="34" spans="1:33" s="1" customFormat="1" ht="25.5" outlineLevel="1" x14ac:dyDescent="0.25">
      <c r="A34" s="9" t="s">
        <v>203</v>
      </c>
      <c r="B34" s="16" t="s">
        <v>51</v>
      </c>
      <c r="C34" s="15" t="s">
        <v>38</v>
      </c>
      <c r="D34" s="33" t="s">
        <v>217</v>
      </c>
      <c r="E34" s="31">
        <v>887</v>
      </c>
      <c r="F34" s="31">
        <v>891</v>
      </c>
      <c r="G34" s="31">
        <v>590</v>
      </c>
      <c r="H34" s="31">
        <v>657</v>
      </c>
      <c r="I34" s="31">
        <f>17040+543</f>
        <v>17583</v>
      </c>
      <c r="J34" s="31">
        <v>657</v>
      </c>
      <c r="K34" s="31">
        <v>645</v>
      </c>
      <c r="L34" s="31">
        <f>31820+634</f>
        <v>32454</v>
      </c>
      <c r="M34" s="31">
        <v>131</v>
      </c>
      <c r="N34" s="31">
        <v>25</v>
      </c>
      <c r="O34" s="31">
        <v>27</v>
      </c>
      <c r="P34" s="31">
        <f>1940+35</f>
        <v>1975</v>
      </c>
      <c r="Q34" s="31">
        <v>88</v>
      </c>
      <c r="R34" s="31">
        <f>4160+91</f>
        <v>4251</v>
      </c>
      <c r="S34" s="31">
        <f>4160+88</f>
        <v>4248</v>
      </c>
      <c r="T34" s="31">
        <f>4160+87</f>
        <v>4247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79"/>
      <c r="AG34" s="79"/>
    </row>
    <row r="35" spans="1:33" s="1" customFormat="1" ht="127.5" outlineLevel="1" x14ac:dyDescent="0.25">
      <c r="A35" s="19" t="s">
        <v>204</v>
      </c>
      <c r="B35" s="11" t="s">
        <v>52</v>
      </c>
      <c r="C35" s="15" t="s">
        <v>4</v>
      </c>
      <c r="D35" s="33" t="s">
        <v>218</v>
      </c>
      <c r="E35" s="9" t="s">
        <v>359</v>
      </c>
      <c r="F35" s="9" t="s">
        <v>359</v>
      </c>
      <c r="G35" s="9" t="s">
        <v>359</v>
      </c>
      <c r="H35" s="9" t="s">
        <v>359</v>
      </c>
      <c r="I35" s="9" t="s">
        <v>359</v>
      </c>
      <c r="J35" s="9" t="s">
        <v>359</v>
      </c>
      <c r="K35" s="9" t="s">
        <v>359</v>
      </c>
      <c r="L35" s="9" t="s">
        <v>359</v>
      </c>
      <c r="M35" s="9" t="s">
        <v>359</v>
      </c>
      <c r="N35" s="9" t="s">
        <v>359</v>
      </c>
      <c r="O35" s="9" t="s">
        <v>359</v>
      </c>
      <c r="P35" s="9" t="s">
        <v>359</v>
      </c>
      <c r="Q35" s="9" t="s">
        <v>359</v>
      </c>
      <c r="R35" s="9" t="s">
        <v>359</v>
      </c>
      <c r="S35" s="9" t="s">
        <v>359</v>
      </c>
      <c r="T35" s="9" t="s">
        <v>359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79"/>
      <c r="AG35" s="79"/>
    </row>
    <row r="36" spans="1:33" s="1" customFormat="1" ht="25.5" outlineLevel="1" x14ac:dyDescent="0.25">
      <c r="A36" s="15" t="s">
        <v>205</v>
      </c>
      <c r="B36" s="16" t="s">
        <v>53</v>
      </c>
      <c r="C36" s="15" t="s">
        <v>4</v>
      </c>
      <c r="D36" s="33" t="s">
        <v>201</v>
      </c>
      <c r="E36" s="9" t="s">
        <v>356</v>
      </c>
      <c r="F36" s="9" t="s">
        <v>356</v>
      </c>
      <c r="G36" s="9" t="s">
        <v>356</v>
      </c>
      <c r="H36" s="9" t="s">
        <v>356</v>
      </c>
      <c r="I36" s="9" t="s">
        <v>356</v>
      </c>
      <c r="J36" s="9" t="s">
        <v>356</v>
      </c>
      <c r="K36" s="9" t="s">
        <v>356</v>
      </c>
      <c r="L36" s="9" t="s">
        <v>356</v>
      </c>
      <c r="M36" s="9" t="s">
        <v>356</v>
      </c>
      <c r="N36" s="9" t="s">
        <v>356</v>
      </c>
      <c r="O36" s="9" t="s">
        <v>356</v>
      </c>
      <c r="P36" s="9" t="s">
        <v>356</v>
      </c>
      <c r="Q36" s="9" t="s">
        <v>356</v>
      </c>
      <c r="R36" s="9" t="s">
        <v>356</v>
      </c>
      <c r="S36" s="9" t="s">
        <v>356</v>
      </c>
      <c r="T36" s="9" t="s">
        <v>356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79"/>
      <c r="AG36" s="79"/>
    </row>
    <row r="37" spans="1:33" s="1" customFormat="1" outlineLevel="1" x14ac:dyDescent="0.25">
      <c r="A37" s="15" t="s">
        <v>206</v>
      </c>
      <c r="B37" s="16" t="s">
        <v>2</v>
      </c>
      <c r="C37" s="15" t="s">
        <v>4</v>
      </c>
      <c r="D37" s="33" t="s">
        <v>201</v>
      </c>
      <c r="E37" s="17" t="s">
        <v>357</v>
      </c>
      <c r="F37" s="17" t="s">
        <v>357</v>
      </c>
      <c r="G37" s="17" t="s">
        <v>357</v>
      </c>
      <c r="H37" s="17" t="s">
        <v>357</v>
      </c>
      <c r="I37" s="17" t="s">
        <v>357</v>
      </c>
      <c r="J37" s="17" t="s">
        <v>357</v>
      </c>
      <c r="K37" s="17" t="s">
        <v>357</v>
      </c>
      <c r="L37" s="17" t="s">
        <v>357</v>
      </c>
      <c r="M37" s="17" t="s">
        <v>357</v>
      </c>
      <c r="N37" s="17" t="s">
        <v>357</v>
      </c>
      <c r="O37" s="17" t="s">
        <v>357</v>
      </c>
      <c r="P37" s="17" t="s">
        <v>357</v>
      </c>
      <c r="Q37" s="17" t="s">
        <v>357</v>
      </c>
      <c r="R37" s="17" t="s">
        <v>357</v>
      </c>
      <c r="S37" s="17" t="s">
        <v>357</v>
      </c>
      <c r="T37" s="17" t="s">
        <v>357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79"/>
      <c r="AG37" s="79"/>
    </row>
    <row r="38" spans="1:33" s="1" customFormat="1" outlineLevel="1" x14ac:dyDescent="0.25">
      <c r="A38" s="15" t="s">
        <v>207</v>
      </c>
      <c r="B38" s="16" t="s">
        <v>54</v>
      </c>
      <c r="C38" s="15" t="s">
        <v>38</v>
      </c>
      <c r="D38" s="33" t="s">
        <v>201</v>
      </c>
      <c r="E38" s="31">
        <f>E34/E$12</f>
        <v>5.2039770681910262E-4</v>
      </c>
      <c r="F38" s="31">
        <f t="shared" ref="F38:T38" si="8">F34/F$12</f>
        <v>5.193647296171187E-4</v>
      </c>
      <c r="G38" s="31">
        <f t="shared" ref="G38:J38" si="9">G34/G$12</f>
        <v>1.3103158658530597E-3</v>
      </c>
      <c r="H38" s="31">
        <f t="shared" si="9"/>
        <v>2.7478759796993445E-3</v>
      </c>
      <c r="I38" s="31">
        <f t="shared" si="9"/>
        <v>3.2012453814939397E-2</v>
      </c>
      <c r="J38" s="31" t="e">
        <f t="shared" si="9"/>
        <v>#DIV/0!</v>
      </c>
      <c r="K38" s="31">
        <f t="shared" si="8"/>
        <v>7.7392314324049101E-4</v>
      </c>
      <c r="L38" s="31">
        <f t="shared" si="8"/>
        <v>3.945994564439298E-2</v>
      </c>
      <c r="M38" s="31">
        <f t="shared" si="8"/>
        <v>7.7603959389551855E-4</v>
      </c>
      <c r="N38" s="31">
        <f t="shared" si="8"/>
        <v>-9.3677868041607965E-3</v>
      </c>
      <c r="O38" s="31">
        <f t="shared" si="8"/>
        <v>-9.3559956338687047E-3</v>
      </c>
      <c r="P38" s="31">
        <f t="shared" si="8"/>
        <v>-0.53293972249356425</v>
      </c>
      <c r="Q38" s="31">
        <f t="shared" si="8"/>
        <v>7.6647013675569216E-4</v>
      </c>
      <c r="R38" s="31">
        <f t="shared" si="8"/>
        <v>3.5893154413008874E-2</v>
      </c>
      <c r="S38" s="31">
        <f t="shared" si="8"/>
        <v>3.7246491723308718E-2</v>
      </c>
      <c r="T38" s="31">
        <f t="shared" si="8"/>
        <v>3.7614295380712995E-2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79"/>
      <c r="AG38" s="79"/>
    </row>
    <row r="39" spans="1:33" s="1" customFormat="1" ht="38.25" x14ac:dyDescent="0.25">
      <c r="A39" s="20" t="s">
        <v>202</v>
      </c>
      <c r="B39" s="89" t="s">
        <v>39</v>
      </c>
      <c r="C39" s="90" t="s">
        <v>4</v>
      </c>
      <c r="D39" s="91" t="s">
        <v>216</v>
      </c>
      <c r="E39" s="93" t="s">
        <v>360</v>
      </c>
      <c r="F39" s="13" t="s">
        <v>360</v>
      </c>
      <c r="G39" s="13" t="s">
        <v>360</v>
      </c>
      <c r="H39" s="13" t="s">
        <v>360</v>
      </c>
      <c r="I39" s="13" t="s">
        <v>360</v>
      </c>
      <c r="J39" s="13" t="s">
        <v>360</v>
      </c>
      <c r="K39" s="13" t="s">
        <v>360</v>
      </c>
      <c r="L39" s="13" t="s">
        <v>360</v>
      </c>
      <c r="M39" s="13" t="s">
        <v>360</v>
      </c>
      <c r="N39" s="13" t="s">
        <v>360</v>
      </c>
      <c r="O39" s="13" t="s">
        <v>360</v>
      </c>
      <c r="P39" s="13" t="s">
        <v>360</v>
      </c>
      <c r="Q39" s="13" t="s">
        <v>360</v>
      </c>
      <c r="R39" s="13" t="s">
        <v>360</v>
      </c>
      <c r="S39" s="13" t="s">
        <v>360</v>
      </c>
      <c r="T39" s="13" t="s">
        <v>360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79"/>
      <c r="AG39" s="79"/>
    </row>
    <row r="40" spans="1:33" s="1" customFormat="1" ht="25.5" x14ac:dyDescent="0.25">
      <c r="A40" s="9" t="s">
        <v>203</v>
      </c>
      <c r="B40" s="16" t="s">
        <v>51</v>
      </c>
      <c r="C40" s="15" t="s">
        <v>38</v>
      </c>
      <c r="D40" s="33" t="s">
        <v>217</v>
      </c>
      <c r="E40" s="31">
        <f>157677.19+32967.7</f>
        <v>190644.89</v>
      </c>
      <c r="F40" s="31">
        <f>149606.48+13187.08</f>
        <v>162793.56</v>
      </c>
      <c r="G40" s="31">
        <v>0</v>
      </c>
      <c r="H40" s="31">
        <v>0</v>
      </c>
      <c r="I40" s="31">
        <v>0</v>
      </c>
      <c r="J40" s="31">
        <v>297061.89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79"/>
      <c r="AG40" s="79"/>
    </row>
    <row r="41" spans="1:33" s="1" customFormat="1" ht="41.25" customHeight="1" x14ac:dyDescent="0.25">
      <c r="A41" s="19" t="s">
        <v>209</v>
      </c>
      <c r="B41" s="11" t="s">
        <v>52</v>
      </c>
      <c r="C41" s="15" t="s">
        <v>4</v>
      </c>
      <c r="D41" s="33" t="s">
        <v>218</v>
      </c>
      <c r="E41" s="9" t="s">
        <v>360</v>
      </c>
      <c r="F41" s="9" t="s">
        <v>360</v>
      </c>
      <c r="G41" s="9" t="s">
        <v>360</v>
      </c>
      <c r="H41" s="9" t="s">
        <v>360</v>
      </c>
      <c r="I41" s="9" t="s">
        <v>360</v>
      </c>
      <c r="J41" s="9" t="s">
        <v>360</v>
      </c>
      <c r="K41" s="9" t="s">
        <v>360</v>
      </c>
      <c r="L41" s="9" t="s">
        <v>360</v>
      </c>
      <c r="M41" s="9" t="s">
        <v>360</v>
      </c>
      <c r="N41" s="9" t="s">
        <v>360</v>
      </c>
      <c r="O41" s="9" t="s">
        <v>360</v>
      </c>
      <c r="P41" s="9" t="s">
        <v>360</v>
      </c>
      <c r="Q41" s="9" t="s">
        <v>360</v>
      </c>
      <c r="R41" s="9" t="s">
        <v>360</v>
      </c>
      <c r="S41" s="9" t="s">
        <v>360</v>
      </c>
      <c r="T41" s="9" t="s">
        <v>360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79"/>
      <c r="AG41" s="79"/>
    </row>
    <row r="42" spans="1:33" s="1" customFormat="1" ht="25.5" x14ac:dyDescent="0.25">
      <c r="A42" s="15" t="s">
        <v>208</v>
      </c>
      <c r="B42" s="16" t="s">
        <v>53</v>
      </c>
      <c r="C42" s="15" t="s">
        <v>4</v>
      </c>
      <c r="D42" s="33" t="s">
        <v>201</v>
      </c>
      <c r="E42" s="9" t="s">
        <v>361</v>
      </c>
      <c r="F42" s="9" t="s">
        <v>361</v>
      </c>
      <c r="G42" s="9" t="s">
        <v>361</v>
      </c>
      <c r="H42" s="9" t="s">
        <v>361</v>
      </c>
      <c r="I42" s="9" t="s">
        <v>361</v>
      </c>
      <c r="J42" s="9" t="s">
        <v>361</v>
      </c>
      <c r="K42" s="9" t="s">
        <v>361</v>
      </c>
      <c r="L42" s="9" t="s">
        <v>361</v>
      </c>
      <c r="M42" s="9" t="s">
        <v>361</v>
      </c>
      <c r="N42" s="9" t="s">
        <v>361</v>
      </c>
      <c r="O42" s="9" t="s">
        <v>361</v>
      </c>
      <c r="P42" s="9" t="s">
        <v>361</v>
      </c>
      <c r="Q42" s="9" t="s">
        <v>361</v>
      </c>
      <c r="R42" s="9" t="s">
        <v>361</v>
      </c>
      <c r="S42" s="9" t="s">
        <v>361</v>
      </c>
      <c r="T42" s="9" t="s">
        <v>361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9"/>
      <c r="AG42" s="79"/>
    </row>
    <row r="43" spans="1:33" s="1" customFormat="1" x14ac:dyDescent="0.25">
      <c r="A43" s="15" t="s">
        <v>210</v>
      </c>
      <c r="B43" s="16" t="s">
        <v>2</v>
      </c>
      <c r="C43" s="15" t="s">
        <v>4</v>
      </c>
      <c r="D43" s="33" t="s">
        <v>201</v>
      </c>
      <c r="E43" s="17" t="s">
        <v>357</v>
      </c>
      <c r="F43" s="17" t="s">
        <v>357</v>
      </c>
      <c r="G43" s="17" t="s">
        <v>357</v>
      </c>
      <c r="H43" s="17" t="s">
        <v>357</v>
      </c>
      <c r="I43" s="17" t="s">
        <v>357</v>
      </c>
      <c r="J43" s="17" t="s">
        <v>357</v>
      </c>
      <c r="K43" s="17" t="s">
        <v>357</v>
      </c>
      <c r="L43" s="17" t="s">
        <v>357</v>
      </c>
      <c r="M43" s="17" t="s">
        <v>357</v>
      </c>
      <c r="N43" s="17" t="s">
        <v>357</v>
      </c>
      <c r="O43" s="17" t="s">
        <v>357</v>
      </c>
      <c r="P43" s="17" t="s">
        <v>357</v>
      </c>
      <c r="Q43" s="17" t="s">
        <v>357</v>
      </c>
      <c r="R43" s="17" t="s">
        <v>357</v>
      </c>
      <c r="S43" s="17" t="s">
        <v>357</v>
      </c>
      <c r="T43" s="17" t="s">
        <v>357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79"/>
      <c r="AG43" s="79"/>
    </row>
    <row r="44" spans="1:33" s="1" customFormat="1" x14ac:dyDescent="0.25">
      <c r="A44" s="15" t="s">
        <v>211</v>
      </c>
      <c r="B44" s="16" t="s">
        <v>54</v>
      </c>
      <c r="C44" s="15" t="s">
        <v>38</v>
      </c>
      <c r="D44" s="33" t="s">
        <v>201</v>
      </c>
      <c r="E44" s="31">
        <f>E40/E$12</f>
        <v>0.11185024078103731</v>
      </c>
      <c r="F44" s="31">
        <f t="shared" ref="F44:T44" si="10">F40/F$12</f>
        <v>9.4892517702366105E-2</v>
      </c>
      <c r="G44" s="31">
        <f t="shared" ref="G44:J44" si="11">G40/G$12</f>
        <v>0</v>
      </c>
      <c r="H44" s="31">
        <f t="shared" si="11"/>
        <v>0</v>
      </c>
      <c r="I44" s="31">
        <f t="shared" si="11"/>
        <v>0</v>
      </c>
      <c r="J44" s="31" t="e">
        <f t="shared" si="11"/>
        <v>#DIV/0!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si="10"/>
        <v>0</v>
      </c>
      <c r="O44" s="31">
        <f t="shared" si="10"/>
        <v>0</v>
      </c>
      <c r="P44" s="31">
        <f t="shared" si="10"/>
        <v>0</v>
      </c>
      <c r="Q44" s="31">
        <f t="shared" si="10"/>
        <v>0</v>
      </c>
      <c r="R44" s="31">
        <f t="shared" si="10"/>
        <v>0</v>
      </c>
      <c r="S44" s="31">
        <f t="shared" si="10"/>
        <v>0</v>
      </c>
      <c r="T44" s="31">
        <f t="shared" si="10"/>
        <v>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79"/>
      <c r="AG44" s="79"/>
    </row>
    <row r="45" spans="1:33" s="1" customFormat="1" ht="25.5" x14ac:dyDescent="0.25">
      <c r="A45" s="20" t="s">
        <v>202</v>
      </c>
      <c r="B45" s="89" t="s">
        <v>39</v>
      </c>
      <c r="C45" s="90" t="s">
        <v>4</v>
      </c>
      <c r="D45" s="91" t="s">
        <v>216</v>
      </c>
      <c r="E45" s="93" t="s">
        <v>2330</v>
      </c>
      <c r="F45" s="93" t="s">
        <v>2330</v>
      </c>
      <c r="G45" s="93" t="s">
        <v>2330</v>
      </c>
      <c r="H45" s="93" t="s">
        <v>2330</v>
      </c>
      <c r="I45" s="93" t="s">
        <v>2330</v>
      </c>
      <c r="J45" s="93" t="s">
        <v>2330</v>
      </c>
      <c r="K45" s="93" t="s">
        <v>2330</v>
      </c>
      <c r="L45" s="93" t="s">
        <v>2330</v>
      </c>
      <c r="M45" s="93" t="s">
        <v>2330</v>
      </c>
      <c r="N45" s="93" t="s">
        <v>2330</v>
      </c>
      <c r="O45" s="93" t="s">
        <v>2330</v>
      </c>
      <c r="P45" s="93" t="s">
        <v>2330</v>
      </c>
      <c r="Q45" s="93" t="s">
        <v>2330</v>
      </c>
      <c r="R45" s="93" t="s">
        <v>2330</v>
      </c>
      <c r="S45" s="93" t="s">
        <v>2330</v>
      </c>
      <c r="T45" s="93" t="s">
        <v>2330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79"/>
      <c r="AG45" s="79"/>
    </row>
    <row r="46" spans="1:33" s="1" customFormat="1" ht="25.5" x14ac:dyDescent="0.25">
      <c r="A46" s="9" t="s">
        <v>203</v>
      </c>
      <c r="B46" s="16" t="s">
        <v>51</v>
      </c>
      <c r="C46" s="15" t="s">
        <v>38</v>
      </c>
      <c r="D46" s="33" t="s">
        <v>217</v>
      </c>
      <c r="E46" s="31">
        <v>86175.75</v>
      </c>
      <c r="F46" s="31">
        <v>85759.12</v>
      </c>
      <c r="G46" s="31">
        <v>10832.88</v>
      </c>
      <c r="H46" s="31">
        <v>10667.24</v>
      </c>
      <c r="I46" s="31">
        <v>30708.85</v>
      </c>
      <c r="J46" s="31">
        <v>0</v>
      </c>
      <c r="K46" s="31">
        <v>125292.14</v>
      </c>
      <c r="L46" s="31">
        <v>0</v>
      </c>
      <c r="M46" s="31">
        <f>7200/7</f>
        <v>1028.5714285714287</v>
      </c>
      <c r="N46" s="31">
        <f>7200/7</f>
        <v>1028.5714285714287</v>
      </c>
      <c r="O46" s="31">
        <f>7200/7</f>
        <v>1028.5714285714287</v>
      </c>
      <c r="P46" s="31">
        <f>7200/7</f>
        <v>1028.5714285714287</v>
      </c>
      <c r="Q46" s="31">
        <v>52404</v>
      </c>
      <c r="R46" s="31">
        <f t="shared" ref="R46:T46" si="12">7200/7</f>
        <v>1028.5714285714287</v>
      </c>
      <c r="S46" s="31">
        <f t="shared" si="12"/>
        <v>1028.5714285714287</v>
      </c>
      <c r="T46" s="31">
        <f t="shared" si="12"/>
        <v>1028.5714285714287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79"/>
      <c r="AG46" s="79"/>
    </row>
    <row r="47" spans="1:33" s="1" customFormat="1" ht="41.25" customHeight="1" x14ac:dyDescent="0.25">
      <c r="A47" s="19" t="s">
        <v>212</v>
      </c>
      <c r="B47" s="11" t="s">
        <v>52</v>
      </c>
      <c r="C47" s="15" t="s">
        <v>4</v>
      </c>
      <c r="D47" s="33" t="s">
        <v>218</v>
      </c>
      <c r="E47" s="9" t="s">
        <v>363</v>
      </c>
      <c r="F47" s="9" t="s">
        <v>363</v>
      </c>
      <c r="G47" s="9" t="s">
        <v>363</v>
      </c>
      <c r="H47" s="9" t="s">
        <v>363</v>
      </c>
      <c r="I47" s="9" t="s">
        <v>363</v>
      </c>
      <c r="J47" s="9" t="s">
        <v>363</v>
      </c>
      <c r="K47" s="9" t="s">
        <v>363</v>
      </c>
      <c r="L47" s="9" t="s">
        <v>363</v>
      </c>
      <c r="M47" s="9" t="s">
        <v>363</v>
      </c>
      <c r="N47" s="9" t="s">
        <v>363</v>
      </c>
      <c r="O47" s="9" t="s">
        <v>363</v>
      </c>
      <c r="P47" s="9" t="s">
        <v>363</v>
      </c>
      <c r="Q47" s="9" t="s">
        <v>363</v>
      </c>
      <c r="R47" s="9" t="s">
        <v>363</v>
      </c>
      <c r="S47" s="9" t="s">
        <v>363</v>
      </c>
      <c r="T47" s="9" t="s">
        <v>363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79"/>
      <c r="AG47" s="79"/>
    </row>
    <row r="48" spans="1:33" s="1" customFormat="1" ht="25.5" x14ac:dyDescent="0.25">
      <c r="A48" s="15" t="s">
        <v>213</v>
      </c>
      <c r="B48" s="16" t="s">
        <v>53</v>
      </c>
      <c r="C48" s="15" t="s">
        <v>4</v>
      </c>
      <c r="D48" s="33" t="s">
        <v>201</v>
      </c>
      <c r="E48" s="9" t="s">
        <v>364</v>
      </c>
      <c r="F48" s="9" t="s">
        <v>364</v>
      </c>
      <c r="G48" s="9" t="s">
        <v>364</v>
      </c>
      <c r="H48" s="9" t="s">
        <v>364</v>
      </c>
      <c r="I48" s="9" t="s">
        <v>364</v>
      </c>
      <c r="J48" s="9" t="s">
        <v>364</v>
      </c>
      <c r="K48" s="9" t="s">
        <v>364</v>
      </c>
      <c r="L48" s="9" t="s">
        <v>364</v>
      </c>
      <c r="M48" s="9" t="s">
        <v>364</v>
      </c>
      <c r="N48" s="9" t="s">
        <v>364</v>
      </c>
      <c r="O48" s="9" t="s">
        <v>364</v>
      </c>
      <c r="P48" s="9" t="s">
        <v>364</v>
      </c>
      <c r="Q48" s="9" t="s">
        <v>364</v>
      </c>
      <c r="R48" s="9" t="s">
        <v>364</v>
      </c>
      <c r="S48" s="9" t="s">
        <v>364</v>
      </c>
      <c r="T48" s="9" t="s">
        <v>364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79"/>
      <c r="AG48" s="79"/>
    </row>
    <row r="49" spans="1:35" s="1" customFormat="1" x14ac:dyDescent="0.25">
      <c r="A49" s="15" t="s">
        <v>214</v>
      </c>
      <c r="B49" s="16" t="s">
        <v>2</v>
      </c>
      <c r="C49" s="15" t="s">
        <v>4</v>
      </c>
      <c r="D49" s="33" t="s">
        <v>201</v>
      </c>
      <c r="E49" s="17" t="s">
        <v>357</v>
      </c>
      <c r="F49" s="17" t="s">
        <v>357</v>
      </c>
      <c r="G49" s="17" t="s">
        <v>357</v>
      </c>
      <c r="H49" s="17" t="s">
        <v>357</v>
      </c>
      <c r="I49" s="17" t="s">
        <v>357</v>
      </c>
      <c r="J49" s="17" t="s">
        <v>357</v>
      </c>
      <c r="K49" s="17" t="s">
        <v>357</v>
      </c>
      <c r="L49" s="17" t="s">
        <v>357</v>
      </c>
      <c r="M49" s="17" t="s">
        <v>357</v>
      </c>
      <c r="N49" s="17" t="s">
        <v>357</v>
      </c>
      <c r="O49" s="17" t="s">
        <v>357</v>
      </c>
      <c r="P49" s="17" t="s">
        <v>357</v>
      </c>
      <c r="Q49" s="17" t="s">
        <v>357</v>
      </c>
      <c r="R49" s="17" t="s">
        <v>357</v>
      </c>
      <c r="S49" s="17" t="s">
        <v>357</v>
      </c>
      <c r="T49" s="17" t="s">
        <v>357</v>
      </c>
      <c r="U49" s="17"/>
      <c r="V49" s="17"/>
      <c r="W49" s="17"/>
      <c r="X49" s="17"/>
      <c r="Y49" s="17"/>
      <c r="Z49" s="32"/>
      <c r="AA49" s="17"/>
      <c r="AB49" s="17"/>
      <c r="AC49" s="17"/>
      <c r="AD49" s="17"/>
      <c r="AE49" s="17"/>
      <c r="AF49" s="79"/>
      <c r="AG49" s="79"/>
    </row>
    <row r="50" spans="1:35" s="1" customFormat="1" x14ac:dyDescent="0.25">
      <c r="A50" s="15" t="s">
        <v>215</v>
      </c>
      <c r="B50" s="16" t="s">
        <v>54</v>
      </c>
      <c r="C50" s="15" t="s">
        <v>38</v>
      </c>
      <c r="D50" s="33" t="s">
        <v>201</v>
      </c>
      <c r="E50" s="31">
        <f>E46/E$12</f>
        <v>5.0558807985813178E-2</v>
      </c>
      <c r="F50" s="31">
        <f t="shared" ref="F50:T50" si="13">F46/F$12</f>
        <v>4.998907089899219E-2</v>
      </c>
      <c r="G50" s="31">
        <f t="shared" ref="G50:J50" si="14">G46/G$12</f>
        <v>2.4058465316749648E-2</v>
      </c>
      <c r="H50" s="31">
        <f t="shared" si="14"/>
        <v>4.4615300708809799E-2</v>
      </c>
      <c r="I50" s="31">
        <f t="shared" si="14"/>
        <v>5.5910006388835899E-2</v>
      </c>
      <c r="J50" s="31" t="e">
        <f t="shared" si="14"/>
        <v>#DIV/0!</v>
      </c>
      <c r="K50" s="31">
        <f t="shared" si="13"/>
        <v>0.15033563846841497</v>
      </c>
      <c r="L50" s="31">
        <f t="shared" si="13"/>
        <v>0</v>
      </c>
      <c r="M50" s="31">
        <f t="shared" si="13"/>
        <v>6.0932225474893496E-3</v>
      </c>
      <c r="N50" s="31">
        <f t="shared" si="13"/>
        <v>-0.38541751422832998</v>
      </c>
      <c r="O50" s="31">
        <f t="shared" si="13"/>
        <v>-0.35641888129023641</v>
      </c>
      <c r="P50" s="31">
        <f t="shared" si="13"/>
        <v>-0.27755269453552717</v>
      </c>
      <c r="Q50" s="31">
        <f t="shared" si="13"/>
        <v>0.45643296643801468</v>
      </c>
      <c r="R50" s="31">
        <f t="shared" si="13"/>
        <v>8.6847031546749987E-3</v>
      </c>
      <c r="S50" s="31">
        <f t="shared" si="13"/>
        <v>9.0185209983798358E-3</v>
      </c>
      <c r="T50" s="31">
        <f t="shared" si="13"/>
        <v>9.1097220471974705E-3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79"/>
      <c r="AG50" s="79"/>
    </row>
    <row r="51" spans="1:35" s="1" customFormat="1" ht="38.25" hidden="1" customHeight="1" x14ac:dyDescent="0.25">
      <c r="A51" s="20" t="s">
        <v>202</v>
      </c>
      <c r="B51" s="81" t="s">
        <v>39</v>
      </c>
      <c r="C51" s="82" t="s">
        <v>4</v>
      </c>
      <c r="D51" s="83" t="s">
        <v>216</v>
      </c>
      <c r="E51" s="84" t="s">
        <v>365</v>
      </c>
      <c r="F51" s="13" t="s">
        <v>365</v>
      </c>
      <c r="G51" s="13" t="s">
        <v>365</v>
      </c>
      <c r="H51" s="13" t="s">
        <v>365</v>
      </c>
      <c r="I51" s="13" t="s">
        <v>365</v>
      </c>
      <c r="J51" s="13" t="s">
        <v>365</v>
      </c>
      <c r="K51" s="13" t="s">
        <v>365</v>
      </c>
      <c r="L51" s="13" t="s">
        <v>365</v>
      </c>
      <c r="M51" s="13" t="s">
        <v>365</v>
      </c>
      <c r="N51" s="13" t="s">
        <v>365</v>
      </c>
      <c r="O51" s="13" t="s">
        <v>365</v>
      </c>
      <c r="P51" s="13" t="s">
        <v>365</v>
      </c>
      <c r="Q51" s="13" t="s">
        <v>365</v>
      </c>
      <c r="R51" s="13" t="s">
        <v>365</v>
      </c>
      <c r="S51" s="13" t="s">
        <v>365</v>
      </c>
      <c r="T51" s="13" t="s">
        <v>365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79"/>
      <c r="AG51" s="79"/>
    </row>
    <row r="52" spans="1:35" s="1" customFormat="1" ht="25.5" hidden="1" customHeight="1" x14ac:dyDescent="0.25">
      <c r="A52" s="9" t="s">
        <v>203</v>
      </c>
      <c r="B52" s="16" t="s">
        <v>51</v>
      </c>
      <c r="C52" s="15" t="s">
        <v>38</v>
      </c>
      <c r="D52" s="33" t="s">
        <v>217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1"/>
      <c r="W52" s="31"/>
      <c r="X52" s="31"/>
      <c r="Y52" s="31"/>
      <c r="Z52" s="26"/>
      <c r="AA52" s="31"/>
      <c r="AB52" s="31"/>
      <c r="AC52" s="31"/>
      <c r="AD52" s="31"/>
      <c r="AE52" s="31"/>
      <c r="AF52" s="79"/>
      <c r="AG52" s="79"/>
    </row>
    <row r="53" spans="1:35" s="1" customFormat="1" ht="140.25" hidden="1" customHeight="1" x14ac:dyDescent="0.25">
      <c r="A53" s="19" t="s">
        <v>226</v>
      </c>
      <c r="B53" s="11" t="s">
        <v>52</v>
      </c>
      <c r="C53" s="15" t="s">
        <v>4</v>
      </c>
      <c r="D53" s="33" t="s">
        <v>218</v>
      </c>
      <c r="E53" s="9" t="s">
        <v>366</v>
      </c>
      <c r="F53" s="9" t="s">
        <v>366</v>
      </c>
      <c r="G53" s="9" t="s">
        <v>366</v>
      </c>
      <c r="H53" s="9" t="s">
        <v>366</v>
      </c>
      <c r="I53" s="9" t="s">
        <v>366</v>
      </c>
      <c r="J53" s="9" t="s">
        <v>366</v>
      </c>
      <c r="K53" s="9" t="s">
        <v>366</v>
      </c>
      <c r="L53" s="9" t="s">
        <v>366</v>
      </c>
      <c r="M53" s="9" t="s">
        <v>366</v>
      </c>
      <c r="N53" s="9" t="s">
        <v>366</v>
      </c>
      <c r="O53" s="9" t="s">
        <v>366</v>
      </c>
      <c r="P53" s="9" t="s">
        <v>366</v>
      </c>
      <c r="Q53" s="9" t="s">
        <v>366</v>
      </c>
      <c r="R53" s="9" t="s">
        <v>366</v>
      </c>
      <c r="S53" s="9" t="s">
        <v>366</v>
      </c>
      <c r="T53" s="9" t="s">
        <v>366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79"/>
      <c r="AG53" s="79"/>
    </row>
    <row r="54" spans="1:35" s="1" customFormat="1" ht="25.5" hidden="1" customHeight="1" x14ac:dyDescent="0.25">
      <c r="A54" s="15" t="s">
        <v>227</v>
      </c>
      <c r="B54" s="16" t="s">
        <v>53</v>
      </c>
      <c r="C54" s="15" t="s">
        <v>4</v>
      </c>
      <c r="D54" s="33" t="s">
        <v>201</v>
      </c>
      <c r="E54" s="9" t="s">
        <v>361</v>
      </c>
      <c r="F54" s="9" t="s">
        <v>361</v>
      </c>
      <c r="G54" s="9" t="s">
        <v>361</v>
      </c>
      <c r="H54" s="9" t="s">
        <v>361</v>
      </c>
      <c r="I54" s="9" t="s">
        <v>361</v>
      </c>
      <c r="J54" s="9" t="s">
        <v>361</v>
      </c>
      <c r="K54" s="9" t="s">
        <v>361</v>
      </c>
      <c r="L54" s="9" t="s">
        <v>361</v>
      </c>
      <c r="M54" s="9" t="s">
        <v>361</v>
      </c>
      <c r="N54" s="9" t="s">
        <v>361</v>
      </c>
      <c r="O54" s="9" t="s">
        <v>361</v>
      </c>
      <c r="P54" s="9" t="s">
        <v>361</v>
      </c>
      <c r="Q54" s="9" t="s">
        <v>361</v>
      </c>
      <c r="R54" s="9" t="s">
        <v>361</v>
      </c>
      <c r="S54" s="9" t="s">
        <v>361</v>
      </c>
      <c r="T54" s="9" t="s">
        <v>361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79"/>
      <c r="AG54" s="79"/>
    </row>
    <row r="55" spans="1:35" s="1" customFormat="1" ht="15.75" hidden="1" customHeight="1" x14ac:dyDescent="0.25">
      <c r="A55" s="15" t="s">
        <v>228</v>
      </c>
      <c r="B55" s="16" t="s">
        <v>2</v>
      </c>
      <c r="C55" s="15" t="s">
        <v>4</v>
      </c>
      <c r="D55" s="33" t="s">
        <v>201</v>
      </c>
      <c r="E55" s="17" t="s">
        <v>357</v>
      </c>
      <c r="F55" s="17" t="s">
        <v>357</v>
      </c>
      <c r="G55" s="17" t="s">
        <v>357</v>
      </c>
      <c r="H55" s="17" t="s">
        <v>357</v>
      </c>
      <c r="I55" s="17" t="s">
        <v>357</v>
      </c>
      <c r="J55" s="17" t="s">
        <v>357</v>
      </c>
      <c r="K55" s="17" t="s">
        <v>357</v>
      </c>
      <c r="L55" s="17" t="s">
        <v>357</v>
      </c>
      <c r="M55" s="17" t="s">
        <v>357</v>
      </c>
      <c r="N55" s="17" t="s">
        <v>357</v>
      </c>
      <c r="O55" s="17" t="s">
        <v>357</v>
      </c>
      <c r="P55" s="17" t="s">
        <v>357</v>
      </c>
      <c r="Q55" s="17" t="s">
        <v>357</v>
      </c>
      <c r="R55" s="17" t="s">
        <v>357</v>
      </c>
      <c r="S55" s="17" t="s">
        <v>357</v>
      </c>
      <c r="T55" s="17" t="s">
        <v>357</v>
      </c>
      <c r="U55" s="17"/>
      <c r="V55" s="17"/>
      <c r="W55" s="17"/>
      <c r="X55" s="17"/>
      <c r="Y55" s="17"/>
      <c r="Z55" s="32"/>
      <c r="AA55" s="17"/>
      <c r="AB55" s="17"/>
      <c r="AC55" s="17"/>
      <c r="AD55" s="17"/>
      <c r="AE55" s="17"/>
      <c r="AF55" s="79"/>
      <c r="AG55" s="79"/>
    </row>
    <row r="56" spans="1:35" s="1" customFormat="1" ht="15.75" hidden="1" customHeight="1" x14ac:dyDescent="0.25">
      <c r="A56" s="15" t="s">
        <v>229</v>
      </c>
      <c r="B56" s="16" t="s">
        <v>54</v>
      </c>
      <c r="C56" s="15" t="s">
        <v>38</v>
      </c>
      <c r="D56" s="33" t="s">
        <v>201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/>
      <c r="V56" s="31"/>
      <c r="W56" s="31"/>
      <c r="X56" s="31"/>
      <c r="Y56" s="31"/>
      <c r="Z56" s="26"/>
      <c r="AA56" s="31"/>
      <c r="AB56" s="31"/>
      <c r="AC56" s="31"/>
      <c r="AD56" s="31"/>
      <c r="AE56" s="31"/>
      <c r="AF56" s="79"/>
      <c r="AG56" s="79"/>
    </row>
    <row r="57" spans="1:35" s="1" customFormat="1" ht="51" outlineLevel="1" x14ac:dyDescent="0.25">
      <c r="A57" s="20" t="s">
        <v>202</v>
      </c>
      <c r="B57" s="89" t="s">
        <v>39</v>
      </c>
      <c r="C57" s="90" t="s">
        <v>4</v>
      </c>
      <c r="D57" s="91" t="s">
        <v>216</v>
      </c>
      <c r="E57" s="93" t="s">
        <v>367</v>
      </c>
      <c r="F57" s="13" t="s">
        <v>367</v>
      </c>
      <c r="G57" s="13" t="s">
        <v>367</v>
      </c>
      <c r="H57" s="13" t="s">
        <v>367</v>
      </c>
      <c r="I57" s="13" t="s">
        <v>367</v>
      </c>
      <c r="J57" s="13" t="s">
        <v>367</v>
      </c>
      <c r="K57" s="13" t="s">
        <v>367</v>
      </c>
      <c r="L57" s="13" t="s">
        <v>367</v>
      </c>
      <c r="M57" s="13" t="s">
        <v>367</v>
      </c>
      <c r="N57" s="13" t="s">
        <v>367</v>
      </c>
      <c r="O57" s="13" t="s">
        <v>367</v>
      </c>
      <c r="P57" s="13" t="s">
        <v>367</v>
      </c>
      <c r="Q57" s="13" t="s">
        <v>367</v>
      </c>
      <c r="R57" s="13" t="s">
        <v>367</v>
      </c>
      <c r="S57" s="13" t="s">
        <v>367</v>
      </c>
      <c r="T57" s="13" t="s">
        <v>367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79"/>
      <c r="AG57" s="79"/>
      <c r="AI57" s="44"/>
    </row>
    <row r="58" spans="1:35" s="1" customFormat="1" ht="25.5" outlineLevel="1" x14ac:dyDescent="0.25">
      <c r="A58" s="9" t="s">
        <v>203</v>
      </c>
      <c r="B58" s="16" t="s">
        <v>51</v>
      </c>
      <c r="C58" s="15" t="s">
        <v>38</v>
      </c>
      <c r="D58" s="33" t="s">
        <v>217</v>
      </c>
      <c r="E58" s="31">
        <v>24500</v>
      </c>
      <c r="F58" s="31">
        <v>24500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79"/>
      <c r="AG58" s="79"/>
    </row>
    <row r="59" spans="1:35" s="1" customFormat="1" ht="63.75" outlineLevel="1" x14ac:dyDescent="0.25">
      <c r="A59" s="19" t="s">
        <v>230</v>
      </c>
      <c r="B59" s="11" t="s">
        <v>52</v>
      </c>
      <c r="C59" s="15" t="s">
        <v>4</v>
      </c>
      <c r="D59" s="33" t="s">
        <v>218</v>
      </c>
      <c r="E59" s="9" t="s">
        <v>368</v>
      </c>
      <c r="F59" s="9" t="s">
        <v>368</v>
      </c>
      <c r="G59" s="9" t="s">
        <v>368</v>
      </c>
      <c r="H59" s="9" t="s">
        <v>368</v>
      </c>
      <c r="I59" s="9" t="s">
        <v>368</v>
      </c>
      <c r="J59" s="9" t="s">
        <v>368</v>
      </c>
      <c r="K59" s="9" t="s">
        <v>368</v>
      </c>
      <c r="L59" s="9" t="s">
        <v>368</v>
      </c>
      <c r="M59" s="9" t="s">
        <v>368</v>
      </c>
      <c r="N59" s="9" t="s">
        <v>368</v>
      </c>
      <c r="O59" s="9" t="s">
        <v>368</v>
      </c>
      <c r="P59" s="9" t="s">
        <v>368</v>
      </c>
      <c r="Q59" s="9" t="s">
        <v>368</v>
      </c>
      <c r="R59" s="9" t="s">
        <v>368</v>
      </c>
      <c r="S59" s="9" t="s">
        <v>368</v>
      </c>
      <c r="T59" s="9" t="s">
        <v>368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9"/>
      <c r="AG59" s="79"/>
      <c r="AI59" s="44"/>
    </row>
    <row r="60" spans="1:35" s="1" customFormat="1" ht="25.5" outlineLevel="1" x14ac:dyDescent="0.25">
      <c r="A60" s="15" t="s">
        <v>231</v>
      </c>
      <c r="B60" s="16" t="s">
        <v>53</v>
      </c>
      <c r="C60" s="15" t="s">
        <v>4</v>
      </c>
      <c r="D60" s="33" t="s">
        <v>201</v>
      </c>
      <c r="E60" s="9" t="s">
        <v>356</v>
      </c>
      <c r="F60" s="9" t="s">
        <v>356</v>
      </c>
      <c r="G60" s="9" t="s">
        <v>356</v>
      </c>
      <c r="H60" s="9" t="s">
        <v>356</v>
      </c>
      <c r="I60" s="9" t="s">
        <v>356</v>
      </c>
      <c r="J60" s="9" t="s">
        <v>356</v>
      </c>
      <c r="K60" s="9" t="s">
        <v>356</v>
      </c>
      <c r="L60" s="9" t="s">
        <v>356</v>
      </c>
      <c r="M60" s="9" t="s">
        <v>356</v>
      </c>
      <c r="N60" s="9" t="s">
        <v>356</v>
      </c>
      <c r="O60" s="9" t="s">
        <v>356</v>
      </c>
      <c r="P60" s="9" t="s">
        <v>356</v>
      </c>
      <c r="Q60" s="9" t="s">
        <v>356</v>
      </c>
      <c r="R60" s="9" t="s">
        <v>356</v>
      </c>
      <c r="S60" s="9" t="s">
        <v>356</v>
      </c>
      <c r="T60" s="9" t="s">
        <v>356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9"/>
      <c r="AG60" s="79"/>
      <c r="AI60" s="44"/>
    </row>
    <row r="61" spans="1:35" s="1" customFormat="1" outlineLevel="1" x14ac:dyDescent="0.25">
      <c r="A61" s="15" t="s">
        <v>232</v>
      </c>
      <c r="B61" s="16" t="s">
        <v>2</v>
      </c>
      <c r="C61" s="15" t="s">
        <v>4</v>
      </c>
      <c r="D61" s="33" t="s">
        <v>201</v>
      </c>
      <c r="E61" s="17" t="s">
        <v>357</v>
      </c>
      <c r="F61" s="17" t="s">
        <v>357</v>
      </c>
      <c r="G61" s="17" t="s">
        <v>357</v>
      </c>
      <c r="H61" s="17" t="s">
        <v>357</v>
      </c>
      <c r="I61" s="17" t="s">
        <v>357</v>
      </c>
      <c r="J61" s="17" t="s">
        <v>357</v>
      </c>
      <c r="K61" s="17" t="s">
        <v>357</v>
      </c>
      <c r="L61" s="17" t="s">
        <v>357</v>
      </c>
      <c r="M61" s="17" t="s">
        <v>357</v>
      </c>
      <c r="N61" s="17" t="s">
        <v>357</v>
      </c>
      <c r="O61" s="17" t="s">
        <v>357</v>
      </c>
      <c r="P61" s="17" t="s">
        <v>357</v>
      </c>
      <c r="Q61" s="17" t="s">
        <v>357</v>
      </c>
      <c r="R61" s="17" t="s">
        <v>357</v>
      </c>
      <c r="S61" s="17" t="s">
        <v>357</v>
      </c>
      <c r="T61" s="17" t="s">
        <v>357</v>
      </c>
      <c r="U61" s="17"/>
      <c r="V61" s="17"/>
      <c r="W61" s="17"/>
      <c r="X61" s="17"/>
      <c r="Y61" s="17"/>
      <c r="Z61" s="32"/>
      <c r="AA61" s="17"/>
      <c r="AB61" s="17"/>
      <c r="AC61" s="17"/>
      <c r="AD61" s="17"/>
      <c r="AE61" s="17"/>
      <c r="AF61" s="79"/>
      <c r="AG61" s="79"/>
      <c r="AI61" s="44"/>
    </row>
    <row r="62" spans="1:35" s="1" customFormat="1" outlineLevel="1" x14ac:dyDescent="0.25">
      <c r="A62" s="15" t="s">
        <v>233</v>
      </c>
      <c r="B62" s="16" t="s">
        <v>54</v>
      </c>
      <c r="C62" s="15" t="s">
        <v>38</v>
      </c>
      <c r="D62" s="33" t="s">
        <v>201</v>
      </c>
      <c r="E62" s="31">
        <f>E58/E$12</f>
        <v>1.437400655813756E-2</v>
      </c>
      <c r="F62" s="31">
        <f t="shared" ref="F62:T62" si="15">F58/F$12</f>
        <v>1.4281072812142996E-2</v>
      </c>
      <c r="G62" s="31">
        <f t="shared" ref="G62:J62" si="16">G58/G$12</f>
        <v>0</v>
      </c>
      <c r="H62" s="31">
        <f t="shared" si="16"/>
        <v>0</v>
      </c>
      <c r="I62" s="31">
        <f t="shared" si="16"/>
        <v>0</v>
      </c>
      <c r="J62" s="31" t="e">
        <f t="shared" si="16"/>
        <v>#DIV/0!</v>
      </c>
      <c r="K62" s="31">
        <f t="shared" si="15"/>
        <v>0</v>
      </c>
      <c r="L62" s="31">
        <f t="shared" si="15"/>
        <v>0</v>
      </c>
      <c r="M62" s="31">
        <f t="shared" si="15"/>
        <v>0</v>
      </c>
      <c r="N62" s="31">
        <f t="shared" si="15"/>
        <v>0</v>
      </c>
      <c r="O62" s="31">
        <f t="shared" si="15"/>
        <v>0</v>
      </c>
      <c r="P62" s="31">
        <f t="shared" si="15"/>
        <v>0</v>
      </c>
      <c r="Q62" s="31">
        <f t="shared" si="15"/>
        <v>0</v>
      </c>
      <c r="R62" s="31">
        <f t="shared" si="15"/>
        <v>0</v>
      </c>
      <c r="S62" s="31">
        <f t="shared" si="15"/>
        <v>0</v>
      </c>
      <c r="T62" s="31">
        <f t="shared" si="15"/>
        <v>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79"/>
      <c r="AG62" s="79"/>
      <c r="AI62" s="44"/>
    </row>
    <row r="63" spans="1:35" s="1" customFormat="1" ht="102" x14ac:dyDescent="0.25">
      <c r="A63" s="20" t="s">
        <v>202</v>
      </c>
      <c r="B63" s="89" t="s">
        <v>39</v>
      </c>
      <c r="C63" s="90" t="s">
        <v>4</v>
      </c>
      <c r="D63" s="91" t="s">
        <v>216</v>
      </c>
      <c r="E63" s="93" t="s">
        <v>369</v>
      </c>
      <c r="F63" s="13" t="s">
        <v>369</v>
      </c>
      <c r="G63" s="13" t="s">
        <v>369</v>
      </c>
      <c r="H63" s="13" t="s">
        <v>369</v>
      </c>
      <c r="I63" s="13" t="s">
        <v>369</v>
      </c>
      <c r="J63" s="13" t="s">
        <v>369</v>
      </c>
      <c r="K63" s="13" t="s">
        <v>369</v>
      </c>
      <c r="L63" s="13" t="s">
        <v>369</v>
      </c>
      <c r="M63" s="13" t="s">
        <v>369</v>
      </c>
      <c r="N63" s="13" t="s">
        <v>369</v>
      </c>
      <c r="O63" s="13" t="s">
        <v>369</v>
      </c>
      <c r="P63" s="13" t="s">
        <v>369</v>
      </c>
      <c r="Q63" s="13" t="s">
        <v>369</v>
      </c>
      <c r="R63" s="13" t="s">
        <v>369</v>
      </c>
      <c r="S63" s="13" t="s">
        <v>369</v>
      </c>
      <c r="T63" s="13" t="s">
        <v>369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79"/>
      <c r="AG63" s="79"/>
      <c r="AI63" s="44"/>
    </row>
    <row r="64" spans="1:35" s="1" customFormat="1" ht="25.5" x14ac:dyDescent="0.25">
      <c r="A64" s="9" t="s">
        <v>203</v>
      </c>
      <c r="B64" s="16" t="s">
        <v>51</v>
      </c>
      <c r="C64" s="15" t="s">
        <v>38</v>
      </c>
      <c r="D64" s="33" t="s">
        <v>217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79"/>
      <c r="AG64" s="79"/>
    </row>
    <row r="65" spans="1:35" s="1" customFormat="1" ht="114.75" x14ac:dyDescent="0.25">
      <c r="A65" s="19" t="s">
        <v>234</v>
      </c>
      <c r="B65" s="11" t="s">
        <v>52</v>
      </c>
      <c r="C65" s="15" t="s">
        <v>4</v>
      </c>
      <c r="D65" s="33" t="s">
        <v>218</v>
      </c>
      <c r="E65" s="9" t="s">
        <v>370</v>
      </c>
      <c r="F65" s="9" t="s">
        <v>370</v>
      </c>
      <c r="G65" s="9" t="s">
        <v>370</v>
      </c>
      <c r="H65" s="9" t="s">
        <v>370</v>
      </c>
      <c r="I65" s="9" t="s">
        <v>370</v>
      </c>
      <c r="J65" s="9" t="s">
        <v>370</v>
      </c>
      <c r="K65" s="9" t="s">
        <v>370</v>
      </c>
      <c r="L65" s="9" t="s">
        <v>370</v>
      </c>
      <c r="M65" s="9" t="s">
        <v>370</v>
      </c>
      <c r="N65" s="9" t="s">
        <v>370</v>
      </c>
      <c r="O65" s="9" t="s">
        <v>370</v>
      </c>
      <c r="P65" s="9" t="s">
        <v>370</v>
      </c>
      <c r="Q65" s="9" t="s">
        <v>370</v>
      </c>
      <c r="R65" s="9" t="s">
        <v>370</v>
      </c>
      <c r="S65" s="9" t="s">
        <v>370</v>
      </c>
      <c r="T65" s="9" t="s">
        <v>370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79"/>
      <c r="AG65" s="79"/>
      <c r="AI65" s="44"/>
    </row>
    <row r="66" spans="1:35" s="1" customFormat="1" ht="25.5" x14ac:dyDescent="0.25">
      <c r="A66" s="15" t="s">
        <v>235</v>
      </c>
      <c r="B66" s="16" t="s">
        <v>53</v>
      </c>
      <c r="C66" s="15" t="s">
        <v>4</v>
      </c>
      <c r="D66" s="33" t="s">
        <v>201</v>
      </c>
      <c r="E66" s="9" t="s">
        <v>361</v>
      </c>
      <c r="F66" s="9" t="s">
        <v>361</v>
      </c>
      <c r="G66" s="9" t="s">
        <v>361</v>
      </c>
      <c r="H66" s="9" t="s">
        <v>361</v>
      </c>
      <c r="I66" s="9" t="s">
        <v>361</v>
      </c>
      <c r="J66" s="9" t="s">
        <v>361</v>
      </c>
      <c r="K66" s="9" t="s">
        <v>361</v>
      </c>
      <c r="L66" s="9" t="s">
        <v>361</v>
      </c>
      <c r="M66" s="9" t="s">
        <v>361</v>
      </c>
      <c r="N66" s="9" t="s">
        <v>361</v>
      </c>
      <c r="O66" s="9" t="s">
        <v>361</v>
      </c>
      <c r="P66" s="9" t="s">
        <v>361</v>
      </c>
      <c r="Q66" s="9" t="s">
        <v>361</v>
      </c>
      <c r="R66" s="9" t="s">
        <v>361</v>
      </c>
      <c r="S66" s="9" t="s">
        <v>361</v>
      </c>
      <c r="T66" s="9" t="s">
        <v>361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79"/>
      <c r="AG66" s="79"/>
      <c r="AI66" s="44"/>
    </row>
    <row r="67" spans="1:35" s="1" customFormat="1" x14ac:dyDescent="0.25">
      <c r="A67" s="15" t="s">
        <v>236</v>
      </c>
      <c r="B67" s="16" t="s">
        <v>2</v>
      </c>
      <c r="C67" s="15" t="s">
        <v>4</v>
      </c>
      <c r="D67" s="33" t="s">
        <v>201</v>
      </c>
      <c r="E67" s="17" t="s">
        <v>357</v>
      </c>
      <c r="F67" s="17" t="s">
        <v>357</v>
      </c>
      <c r="G67" s="17" t="s">
        <v>357</v>
      </c>
      <c r="H67" s="17" t="s">
        <v>357</v>
      </c>
      <c r="I67" s="17" t="s">
        <v>357</v>
      </c>
      <c r="J67" s="17" t="s">
        <v>357</v>
      </c>
      <c r="K67" s="17" t="s">
        <v>357</v>
      </c>
      <c r="L67" s="17" t="s">
        <v>357</v>
      </c>
      <c r="M67" s="17" t="s">
        <v>357</v>
      </c>
      <c r="N67" s="17" t="s">
        <v>357</v>
      </c>
      <c r="O67" s="17" t="s">
        <v>357</v>
      </c>
      <c r="P67" s="17" t="s">
        <v>357</v>
      </c>
      <c r="Q67" s="17" t="s">
        <v>357</v>
      </c>
      <c r="R67" s="17" t="s">
        <v>357</v>
      </c>
      <c r="S67" s="17" t="s">
        <v>357</v>
      </c>
      <c r="T67" s="17" t="s">
        <v>357</v>
      </c>
      <c r="U67" s="17"/>
      <c r="V67" s="17"/>
      <c r="W67" s="17"/>
      <c r="X67" s="17"/>
      <c r="Y67" s="17"/>
      <c r="Z67" s="32"/>
      <c r="AA67" s="17"/>
      <c r="AB67" s="17"/>
      <c r="AC67" s="17"/>
      <c r="AD67" s="17"/>
      <c r="AE67" s="17"/>
      <c r="AF67" s="79"/>
      <c r="AG67" s="79"/>
      <c r="AI67" s="44"/>
    </row>
    <row r="68" spans="1:35" s="1" customFormat="1" x14ac:dyDescent="0.25">
      <c r="A68" s="15" t="s">
        <v>237</v>
      </c>
      <c r="B68" s="16" t="s">
        <v>54</v>
      </c>
      <c r="C68" s="15" t="s">
        <v>38</v>
      </c>
      <c r="D68" s="33" t="s">
        <v>201</v>
      </c>
      <c r="E68" s="31">
        <f>E64/E$12</f>
        <v>0</v>
      </c>
      <c r="F68" s="31">
        <f t="shared" ref="F68:T68" si="17">F64/F$12</f>
        <v>0</v>
      </c>
      <c r="G68" s="31">
        <f t="shared" ref="G68:J68" si="18">G64/G$12</f>
        <v>0</v>
      </c>
      <c r="H68" s="31">
        <f t="shared" si="18"/>
        <v>0</v>
      </c>
      <c r="I68" s="31">
        <f t="shared" si="18"/>
        <v>0</v>
      </c>
      <c r="J68" s="31" t="e">
        <f t="shared" si="18"/>
        <v>#DIV/0!</v>
      </c>
      <c r="K68" s="31">
        <f t="shared" si="17"/>
        <v>0</v>
      </c>
      <c r="L68" s="31">
        <f t="shared" si="17"/>
        <v>0</v>
      </c>
      <c r="M68" s="31">
        <f t="shared" si="17"/>
        <v>0</v>
      </c>
      <c r="N68" s="31">
        <f t="shared" si="17"/>
        <v>0</v>
      </c>
      <c r="O68" s="31">
        <f t="shared" si="17"/>
        <v>0</v>
      </c>
      <c r="P68" s="31">
        <f t="shared" si="17"/>
        <v>0</v>
      </c>
      <c r="Q68" s="31">
        <f t="shared" si="17"/>
        <v>0</v>
      </c>
      <c r="R68" s="31">
        <f t="shared" si="17"/>
        <v>0</v>
      </c>
      <c r="S68" s="31">
        <f t="shared" si="17"/>
        <v>0</v>
      </c>
      <c r="T68" s="31">
        <f t="shared" si="17"/>
        <v>0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79"/>
      <c r="AG68" s="79"/>
      <c r="AI68" s="44"/>
    </row>
    <row r="69" spans="1:35" s="1" customFormat="1" ht="65.25" hidden="1" customHeight="1" outlineLevel="1" x14ac:dyDescent="0.25">
      <c r="A69" s="20" t="s">
        <v>202</v>
      </c>
      <c r="B69" s="89" t="s">
        <v>39</v>
      </c>
      <c r="C69" s="90" t="s">
        <v>4</v>
      </c>
      <c r="D69" s="91" t="s">
        <v>216</v>
      </c>
      <c r="E69" s="93" t="s">
        <v>371</v>
      </c>
      <c r="F69" s="13" t="s">
        <v>371</v>
      </c>
      <c r="G69" s="13" t="s">
        <v>371</v>
      </c>
      <c r="H69" s="13" t="s">
        <v>371</v>
      </c>
      <c r="I69" s="13" t="s">
        <v>371</v>
      </c>
      <c r="J69" s="13" t="s">
        <v>371</v>
      </c>
      <c r="K69" s="13" t="s">
        <v>371</v>
      </c>
      <c r="L69" s="13" t="s">
        <v>371</v>
      </c>
      <c r="M69" s="13" t="s">
        <v>371</v>
      </c>
      <c r="N69" s="13" t="s">
        <v>371</v>
      </c>
      <c r="O69" s="13" t="s">
        <v>371</v>
      </c>
      <c r="P69" s="13" t="s">
        <v>371</v>
      </c>
      <c r="Q69" s="13" t="s">
        <v>371</v>
      </c>
      <c r="R69" s="13" t="s">
        <v>371</v>
      </c>
      <c r="S69" s="13" t="s">
        <v>371</v>
      </c>
      <c r="T69" s="13" t="s">
        <v>371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79"/>
      <c r="AG69" s="79"/>
      <c r="AI69" s="44"/>
    </row>
    <row r="70" spans="1:35" s="1" customFormat="1" ht="25.5" hidden="1" outlineLevel="1" x14ac:dyDescent="0.25">
      <c r="A70" s="9" t="s">
        <v>203</v>
      </c>
      <c r="B70" s="16" t="s">
        <v>51</v>
      </c>
      <c r="C70" s="15" t="s">
        <v>38</v>
      </c>
      <c r="D70" s="33" t="s">
        <v>217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6"/>
      <c r="AA70" s="31"/>
      <c r="AB70" s="31"/>
      <c r="AC70" s="31"/>
      <c r="AD70" s="31"/>
      <c r="AE70" s="31"/>
      <c r="AF70" s="79"/>
      <c r="AG70" s="79"/>
      <c r="AI70" s="44"/>
    </row>
    <row r="71" spans="1:35" s="1" customFormat="1" ht="76.5" hidden="1" outlineLevel="1" x14ac:dyDescent="0.25">
      <c r="A71" s="19" t="s">
        <v>238</v>
      </c>
      <c r="B71" s="11" t="s">
        <v>52</v>
      </c>
      <c r="C71" s="15" t="s">
        <v>4</v>
      </c>
      <c r="D71" s="33" t="s">
        <v>218</v>
      </c>
      <c r="E71" s="9" t="s">
        <v>372</v>
      </c>
      <c r="F71" s="9" t="s">
        <v>372</v>
      </c>
      <c r="G71" s="9" t="s">
        <v>372</v>
      </c>
      <c r="H71" s="9" t="s">
        <v>372</v>
      </c>
      <c r="I71" s="9" t="s">
        <v>372</v>
      </c>
      <c r="J71" s="9" t="s">
        <v>372</v>
      </c>
      <c r="K71" s="9" t="s">
        <v>372</v>
      </c>
      <c r="L71" s="9" t="s">
        <v>372</v>
      </c>
      <c r="M71" s="9" t="s">
        <v>372</v>
      </c>
      <c r="N71" s="9" t="s">
        <v>372</v>
      </c>
      <c r="O71" s="9" t="s">
        <v>372</v>
      </c>
      <c r="P71" s="9" t="s">
        <v>372</v>
      </c>
      <c r="Q71" s="9" t="s">
        <v>372</v>
      </c>
      <c r="R71" s="9" t="s">
        <v>372</v>
      </c>
      <c r="S71" s="9" t="s">
        <v>372</v>
      </c>
      <c r="T71" s="9" t="s">
        <v>372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79"/>
      <c r="AG71" s="79"/>
      <c r="AI71" s="44"/>
    </row>
    <row r="72" spans="1:35" s="1" customFormat="1" ht="25.5" hidden="1" outlineLevel="1" x14ac:dyDescent="0.25">
      <c r="A72" s="15" t="s">
        <v>239</v>
      </c>
      <c r="B72" s="16" t="s">
        <v>53</v>
      </c>
      <c r="C72" s="15" t="s">
        <v>4</v>
      </c>
      <c r="D72" s="33" t="s">
        <v>201</v>
      </c>
      <c r="E72" s="9" t="s">
        <v>373</v>
      </c>
      <c r="F72" s="9" t="s">
        <v>373</v>
      </c>
      <c r="G72" s="9" t="s">
        <v>373</v>
      </c>
      <c r="H72" s="9" t="s">
        <v>373</v>
      </c>
      <c r="I72" s="9" t="s">
        <v>373</v>
      </c>
      <c r="J72" s="9" t="s">
        <v>373</v>
      </c>
      <c r="K72" s="9" t="s">
        <v>373</v>
      </c>
      <c r="L72" s="9" t="s">
        <v>373</v>
      </c>
      <c r="M72" s="9" t="s">
        <v>373</v>
      </c>
      <c r="N72" s="9" t="s">
        <v>373</v>
      </c>
      <c r="O72" s="9" t="s">
        <v>373</v>
      </c>
      <c r="P72" s="9" t="s">
        <v>373</v>
      </c>
      <c r="Q72" s="9" t="s">
        <v>373</v>
      </c>
      <c r="R72" s="9" t="s">
        <v>373</v>
      </c>
      <c r="S72" s="9" t="s">
        <v>373</v>
      </c>
      <c r="T72" s="9" t="s">
        <v>373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79"/>
      <c r="AG72" s="79"/>
      <c r="AI72" s="44"/>
    </row>
    <row r="73" spans="1:35" s="1" customFormat="1" hidden="1" outlineLevel="1" x14ac:dyDescent="0.25">
      <c r="A73" s="15" t="s">
        <v>240</v>
      </c>
      <c r="B73" s="16" t="s">
        <v>2</v>
      </c>
      <c r="C73" s="15" t="s">
        <v>4</v>
      </c>
      <c r="D73" s="33" t="s">
        <v>201</v>
      </c>
      <c r="E73" s="17" t="s">
        <v>357</v>
      </c>
      <c r="F73" s="17" t="s">
        <v>357</v>
      </c>
      <c r="G73" s="17" t="s">
        <v>357</v>
      </c>
      <c r="H73" s="17" t="s">
        <v>357</v>
      </c>
      <c r="I73" s="17" t="s">
        <v>357</v>
      </c>
      <c r="J73" s="17" t="s">
        <v>357</v>
      </c>
      <c r="K73" s="17" t="s">
        <v>357</v>
      </c>
      <c r="L73" s="17" t="s">
        <v>357</v>
      </c>
      <c r="M73" s="17" t="s">
        <v>357</v>
      </c>
      <c r="N73" s="17" t="s">
        <v>357</v>
      </c>
      <c r="O73" s="17" t="s">
        <v>357</v>
      </c>
      <c r="P73" s="17" t="s">
        <v>357</v>
      </c>
      <c r="Q73" s="17" t="s">
        <v>357</v>
      </c>
      <c r="R73" s="17" t="s">
        <v>357</v>
      </c>
      <c r="S73" s="17" t="s">
        <v>357</v>
      </c>
      <c r="T73" s="17" t="s">
        <v>357</v>
      </c>
      <c r="U73" s="17"/>
      <c r="V73" s="17"/>
      <c r="W73" s="17"/>
      <c r="X73" s="17"/>
      <c r="Y73" s="17"/>
      <c r="Z73" s="32"/>
      <c r="AA73" s="17"/>
      <c r="AB73" s="17"/>
      <c r="AC73" s="17"/>
      <c r="AD73" s="17"/>
      <c r="AE73" s="17"/>
      <c r="AF73" s="79"/>
      <c r="AG73" s="79"/>
      <c r="AI73" s="44"/>
    </row>
    <row r="74" spans="1:35" s="1" customFormat="1" hidden="1" outlineLevel="1" x14ac:dyDescent="0.25">
      <c r="A74" s="15" t="s">
        <v>241</v>
      </c>
      <c r="B74" s="16" t="s">
        <v>54</v>
      </c>
      <c r="C74" s="15" t="s">
        <v>38</v>
      </c>
      <c r="D74" s="33" t="s">
        <v>201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6"/>
      <c r="AA74" s="31"/>
      <c r="AB74" s="31"/>
      <c r="AC74" s="31"/>
      <c r="AD74" s="31"/>
      <c r="AE74" s="31"/>
      <c r="AF74" s="79"/>
      <c r="AG74" s="79"/>
      <c r="AI74" s="44"/>
    </row>
    <row r="75" spans="1:35" s="1" customFormat="1" ht="30.75" hidden="1" customHeight="1" outlineLevel="1" collapsed="1" x14ac:dyDescent="0.25">
      <c r="A75" s="20" t="s">
        <v>202</v>
      </c>
      <c r="B75" s="89" t="s">
        <v>39</v>
      </c>
      <c r="C75" s="90" t="s">
        <v>4</v>
      </c>
      <c r="D75" s="91" t="s">
        <v>216</v>
      </c>
      <c r="E75" s="93" t="s">
        <v>381</v>
      </c>
      <c r="F75" s="13" t="s">
        <v>381</v>
      </c>
      <c r="G75" s="13" t="s">
        <v>381</v>
      </c>
      <c r="H75" s="13" t="s">
        <v>381</v>
      </c>
      <c r="I75" s="13" t="s">
        <v>381</v>
      </c>
      <c r="J75" s="13" t="s">
        <v>381</v>
      </c>
      <c r="K75" s="13" t="s">
        <v>381</v>
      </c>
      <c r="L75" s="13" t="s">
        <v>381</v>
      </c>
      <c r="M75" s="13" t="s">
        <v>381</v>
      </c>
      <c r="N75" s="13" t="s">
        <v>381</v>
      </c>
      <c r="O75" s="13" t="s">
        <v>381</v>
      </c>
      <c r="P75" s="13" t="s">
        <v>381</v>
      </c>
      <c r="Q75" s="13" t="s">
        <v>381</v>
      </c>
      <c r="R75" s="13" t="s">
        <v>381</v>
      </c>
      <c r="S75" s="13" t="s">
        <v>381</v>
      </c>
      <c r="T75" s="13" t="s">
        <v>381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79"/>
      <c r="AG75" s="79"/>
      <c r="AI75" s="44"/>
    </row>
    <row r="76" spans="1:35" s="1" customFormat="1" ht="25.5" hidden="1" outlineLevel="1" x14ac:dyDescent="0.25">
      <c r="A76" s="9" t="s">
        <v>203</v>
      </c>
      <c r="B76" s="16" t="s">
        <v>51</v>
      </c>
      <c r="C76" s="15" t="s">
        <v>38</v>
      </c>
      <c r="D76" s="33" t="s">
        <v>217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6"/>
      <c r="AA76" s="31"/>
      <c r="AB76" s="31"/>
      <c r="AC76" s="31"/>
      <c r="AD76" s="31"/>
      <c r="AE76" s="31"/>
      <c r="AF76" s="79"/>
      <c r="AG76" s="79"/>
      <c r="AI76" s="44"/>
    </row>
    <row r="77" spans="1:35" s="1" customFormat="1" ht="41.25" hidden="1" customHeight="1" outlineLevel="1" x14ac:dyDescent="0.25">
      <c r="A77" s="19" t="s">
        <v>242</v>
      </c>
      <c r="B77" s="11" t="s">
        <v>52</v>
      </c>
      <c r="C77" s="15" t="s">
        <v>4</v>
      </c>
      <c r="D77" s="33" t="s">
        <v>218</v>
      </c>
      <c r="E77" s="9" t="s">
        <v>382</v>
      </c>
      <c r="F77" s="9" t="s">
        <v>382</v>
      </c>
      <c r="G77" s="9" t="s">
        <v>382</v>
      </c>
      <c r="H77" s="9" t="s">
        <v>382</v>
      </c>
      <c r="I77" s="9" t="s">
        <v>382</v>
      </c>
      <c r="J77" s="9" t="s">
        <v>382</v>
      </c>
      <c r="K77" s="9" t="s">
        <v>382</v>
      </c>
      <c r="L77" s="9" t="s">
        <v>382</v>
      </c>
      <c r="M77" s="9" t="s">
        <v>382</v>
      </c>
      <c r="N77" s="9" t="s">
        <v>382</v>
      </c>
      <c r="O77" s="9" t="s">
        <v>382</v>
      </c>
      <c r="P77" s="9" t="s">
        <v>382</v>
      </c>
      <c r="Q77" s="9" t="s">
        <v>382</v>
      </c>
      <c r="R77" s="9" t="s">
        <v>382</v>
      </c>
      <c r="S77" s="9" t="s">
        <v>382</v>
      </c>
      <c r="T77" s="9" t="s">
        <v>382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79"/>
      <c r="AG77" s="79"/>
      <c r="AI77" s="44"/>
    </row>
    <row r="78" spans="1:35" s="1" customFormat="1" ht="25.5" hidden="1" outlineLevel="1" x14ac:dyDescent="0.25">
      <c r="A78" s="15" t="s">
        <v>243</v>
      </c>
      <c r="B78" s="16" t="s">
        <v>53</v>
      </c>
      <c r="C78" s="15" t="s">
        <v>4</v>
      </c>
      <c r="D78" s="33" t="s">
        <v>201</v>
      </c>
      <c r="E78" s="9" t="s">
        <v>356</v>
      </c>
      <c r="F78" s="9" t="s">
        <v>356</v>
      </c>
      <c r="G78" s="9" t="s">
        <v>356</v>
      </c>
      <c r="H78" s="9" t="s">
        <v>356</v>
      </c>
      <c r="I78" s="9" t="s">
        <v>356</v>
      </c>
      <c r="J78" s="9" t="s">
        <v>356</v>
      </c>
      <c r="K78" s="9" t="s">
        <v>356</v>
      </c>
      <c r="L78" s="9" t="s">
        <v>356</v>
      </c>
      <c r="M78" s="9" t="s">
        <v>356</v>
      </c>
      <c r="N78" s="9" t="s">
        <v>356</v>
      </c>
      <c r="O78" s="9" t="s">
        <v>356</v>
      </c>
      <c r="P78" s="9" t="s">
        <v>356</v>
      </c>
      <c r="Q78" s="9" t="s">
        <v>356</v>
      </c>
      <c r="R78" s="9" t="s">
        <v>356</v>
      </c>
      <c r="S78" s="9" t="s">
        <v>356</v>
      </c>
      <c r="T78" s="9" t="s">
        <v>356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79"/>
      <c r="AG78" s="79"/>
      <c r="AI78" s="44"/>
    </row>
    <row r="79" spans="1:35" s="1" customFormat="1" hidden="1" outlineLevel="1" x14ac:dyDescent="0.25">
      <c r="A79" s="15" t="s">
        <v>244</v>
      </c>
      <c r="B79" s="16" t="s">
        <v>2</v>
      </c>
      <c r="C79" s="15" t="s">
        <v>4</v>
      </c>
      <c r="D79" s="33" t="s">
        <v>201</v>
      </c>
      <c r="E79" s="17" t="s">
        <v>357</v>
      </c>
      <c r="F79" s="17" t="s">
        <v>357</v>
      </c>
      <c r="G79" s="17" t="s">
        <v>357</v>
      </c>
      <c r="H79" s="17" t="s">
        <v>357</v>
      </c>
      <c r="I79" s="17" t="s">
        <v>357</v>
      </c>
      <c r="J79" s="17" t="s">
        <v>357</v>
      </c>
      <c r="K79" s="17" t="s">
        <v>357</v>
      </c>
      <c r="L79" s="17" t="s">
        <v>357</v>
      </c>
      <c r="M79" s="17" t="s">
        <v>357</v>
      </c>
      <c r="N79" s="17" t="s">
        <v>357</v>
      </c>
      <c r="O79" s="17" t="s">
        <v>357</v>
      </c>
      <c r="P79" s="17" t="s">
        <v>357</v>
      </c>
      <c r="Q79" s="17" t="s">
        <v>357</v>
      </c>
      <c r="R79" s="17" t="s">
        <v>357</v>
      </c>
      <c r="S79" s="17" t="s">
        <v>357</v>
      </c>
      <c r="T79" s="17" t="s">
        <v>357</v>
      </c>
      <c r="U79" s="17"/>
      <c r="V79" s="17"/>
      <c r="W79" s="17"/>
      <c r="X79" s="17"/>
      <c r="Y79" s="17"/>
      <c r="Z79" s="32"/>
      <c r="AA79" s="17"/>
      <c r="AB79" s="17"/>
      <c r="AC79" s="17"/>
      <c r="AD79" s="17"/>
      <c r="AE79" s="17"/>
      <c r="AF79" s="79"/>
      <c r="AG79" s="79"/>
    </row>
    <row r="80" spans="1:35" s="1" customFormat="1" hidden="1" outlineLevel="1" x14ac:dyDescent="0.25">
      <c r="A80" s="15" t="s">
        <v>245</v>
      </c>
      <c r="B80" s="16" t="s">
        <v>54</v>
      </c>
      <c r="C80" s="15" t="s">
        <v>38</v>
      </c>
      <c r="D80" s="33" t="s">
        <v>201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6"/>
      <c r="AA80" s="31"/>
      <c r="AB80" s="31"/>
      <c r="AC80" s="31"/>
      <c r="AD80" s="31"/>
      <c r="AE80" s="31"/>
      <c r="AF80" s="79"/>
      <c r="AG80" s="79"/>
    </row>
    <row r="81" spans="1:35" s="1" customFormat="1" ht="25.5" hidden="1" outlineLevel="1" collapsed="1" x14ac:dyDescent="0.25">
      <c r="A81" s="20" t="s">
        <v>202</v>
      </c>
      <c r="B81" s="89" t="s">
        <v>39</v>
      </c>
      <c r="C81" s="90" t="s">
        <v>4</v>
      </c>
      <c r="D81" s="91" t="s">
        <v>216</v>
      </c>
      <c r="E81" s="93" t="s">
        <v>374</v>
      </c>
      <c r="F81" s="13" t="s">
        <v>374</v>
      </c>
      <c r="G81" s="13" t="s">
        <v>374</v>
      </c>
      <c r="H81" s="13" t="s">
        <v>374</v>
      </c>
      <c r="I81" s="13" t="s">
        <v>374</v>
      </c>
      <c r="J81" s="13" t="s">
        <v>374</v>
      </c>
      <c r="K81" s="13" t="s">
        <v>374</v>
      </c>
      <c r="L81" s="13" t="s">
        <v>374</v>
      </c>
      <c r="M81" s="13" t="s">
        <v>374</v>
      </c>
      <c r="N81" s="13" t="s">
        <v>374</v>
      </c>
      <c r="O81" s="13" t="s">
        <v>374</v>
      </c>
      <c r="P81" s="13" t="s">
        <v>374</v>
      </c>
      <c r="Q81" s="13" t="s">
        <v>374</v>
      </c>
      <c r="R81" s="13" t="s">
        <v>374</v>
      </c>
      <c r="S81" s="13" t="s">
        <v>374</v>
      </c>
      <c r="T81" s="13" t="s">
        <v>374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79"/>
      <c r="AG81" s="79"/>
    </row>
    <row r="82" spans="1:35" s="1" customFormat="1" ht="25.5" hidden="1" outlineLevel="1" x14ac:dyDescent="0.25">
      <c r="A82" s="9" t="s">
        <v>203</v>
      </c>
      <c r="B82" s="16" t="s">
        <v>51</v>
      </c>
      <c r="C82" s="15" t="s">
        <v>38</v>
      </c>
      <c r="D82" s="33" t="s">
        <v>217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79"/>
      <c r="AG82" s="79"/>
    </row>
    <row r="83" spans="1:35" s="1" customFormat="1" ht="140.25" hidden="1" outlineLevel="1" x14ac:dyDescent="0.25">
      <c r="A83" s="19" t="s">
        <v>246</v>
      </c>
      <c r="B83" s="11" t="s">
        <v>52</v>
      </c>
      <c r="C83" s="15" t="s">
        <v>4</v>
      </c>
      <c r="D83" s="33" t="s">
        <v>218</v>
      </c>
      <c r="E83" s="9" t="s">
        <v>375</v>
      </c>
      <c r="F83" s="9" t="s">
        <v>375</v>
      </c>
      <c r="G83" s="9" t="s">
        <v>375</v>
      </c>
      <c r="H83" s="9" t="s">
        <v>375</v>
      </c>
      <c r="I83" s="9" t="s">
        <v>375</v>
      </c>
      <c r="J83" s="9" t="s">
        <v>375</v>
      </c>
      <c r="K83" s="9" t="s">
        <v>375</v>
      </c>
      <c r="L83" s="9" t="s">
        <v>375</v>
      </c>
      <c r="M83" s="9" t="s">
        <v>375</v>
      </c>
      <c r="N83" s="9" t="s">
        <v>375</v>
      </c>
      <c r="O83" s="9" t="s">
        <v>375</v>
      </c>
      <c r="P83" s="9" t="s">
        <v>375</v>
      </c>
      <c r="Q83" s="9" t="s">
        <v>375</v>
      </c>
      <c r="R83" s="9" t="s">
        <v>375</v>
      </c>
      <c r="S83" s="9" t="s">
        <v>375</v>
      </c>
      <c r="T83" s="9" t="s">
        <v>375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79"/>
      <c r="AG83" s="79"/>
      <c r="AI83" s="44"/>
    </row>
    <row r="84" spans="1:35" s="1" customFormat="1" ht="25.5" hidden="1" outlineLevel="1" x14ac:dyDescent="0.25">
      <c r="A84" s="15" t="s">
        <v>247</v>
      </c>
      <c r="B84" s="16" t="s">
        <v>53</v>
      </c>
      <c r="C84" s="15" t="s">
        <v>4</v>
      </c>
      <c r="D84" s="33" t="s">
        <v>201</v>
      </c>
      <c r="E84" s="9" t="s">
        <v>356</v>
      </c>
      <c r="F84" s="9" t="s">
        <v>356</v>
      </c>
      <c r="G84" s="9" t="s">
        <v>356</v>
      </c>
      <c r="H84" s="9" t="s">
        <v>356</v>
      </c>
      <c r="I84" s="9" t="s">
        <v>356</v>
      </c>
      <c r="J84" s="9" t="s">
        <v>356</v>
      </c>
      <c r="K84" s="9" t="s">
        <v>356</v>
      </c>
      <c r="L84" s="9" t="s">
        <v>356</v>
      </c>
      <c r="M84" s="9" t="s">
        <v>356</v>
      </c>
      <c r="N84" s="9" t="s">
        <v>356</v>
      </c>
      <c r="O84" s="9" t="s">
        <v>356</v>
      </c>
      <c r="P84" s="9" t="s">
        <v>356</v>
      </c>
      <c r="Q84" s="9" t="s">
        <v>356</v>
      </c>
      <c r="R84" s="9" t="s">
        <v>356</v>
      </c>
      <c r="S84" s="9" t="s">
        <v>356</v>
      </c>
      <c r="T84" s="9" t="s">
        <v>356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79"/>
      <c r="AG84" s="79"/>
      <c r="AI84" s="44"/>
    </row>
    <row r="85" spans="1:35" s="1" customFormat="1" hidden="1" outlineLevel="1" x14ac:dyDescent="0.25">
      <c r="A85" s="15" t="s">
        <v>248</v>
      </c>
      <c r="B85" s="16" t="s">
        <v>2</v>
      </c>
      <c r="C85" s="15" t="s">
        <v>4</v>
      </c>
      <c r="D85" s="33" t="s">
        <v>201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17" t="s">
        <v>357</v>
      </c>
      <c r="J85" s="17" t="s">
        <v>357</v>
      </c>
      <c r="K85" s="17" t="s">
        <v>357</v>
      </c>
      <c r="L85" s="17" t="s">
        <v>357</v>
      </c>
      <c r="M85" s="17" t="s">
        <v>357</v>
      </c>
      <c r="N85" s="17" t="s">
        <v>357</v>
      </c>
      <c r="O85" s="17" t="s">
        <v>357</v>
      </c>
      <c r="P85" s="17" t="s">
        <v>357</v>
      </c>
      <c r="Q85" s="17" t="s">
        <v>357</v>
      </c>
      <c r="R85" s="17" t="s">
        <v>357</v>
      </c>
      <c r="S85" s="17" t="s">
        <v>357</v>
      </c>
      <c r="T85" s="17" t="s">
        <v>357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79"/>
      <c r="AG85" s="79"/>
      <c r="AI85" s="44"/>
    </row>
    <row r="86" spans="1:35" s="1" customFormat="1" hidden="1" outlineLevel="1" x14ac:dyDescent="0.25">
      <c r="A86" s="15" t="s">
        <v>249</v>
      </c>
      <c r="B86" s="16" t="s">
        <v>54</v>
      </c>
      <c r="C86" s="15" t="s">
        <v>38</v>
      </c>
      <c r="D86" s="33" t="s">
        <v>201</v>
      </c>
      <c r="E86" s="31">
        <f>E82/E$12</f>
        <v>0</v>
      </c>
      <c r="F86" s="31">
        <f t="shared" ref="F86:T86" si="19">F82/F$12</f>
        <v>0</v>
      </c>
      <c r="G86" s="31">
        <f t="shared" ref="G86:J86" si="20">G82/G$12</f>
        <v>0</v>
      </c>
      <c r="H86" s="31">
        <f t="shared" si="20"/>
        <v>0</v>
      </c>
      <c r="I86" s="31">
        <f t="shared" si="20"/>
        <v>0</v>
      </c>
      <c r="J86" s="31" t="e">
        <f t="shared" si="20"/>
        <v>#DIV/0!</v>
      </c>
      <c r="K86" s="31">
        <f t="shared" si="19"/>
        <v>0</v>
      </c>
      <c r="L86" s="31">
        <f t="shared" si="19"/>
        <v>0</v>
      </c>
      <c r="M86" s="31">
        <f t="shared" si="19"/>
        <v>0</v>
      </c>
      <c r="N86" s="31">
        <f t="shared" si="19"/>
        <v>0</v>
      </c>
      <c r="O86" s="31">
        <f t="shared" si="19"/>
        <v>0</v>
      </c>
      <c r="P86" s="31">
        <f t="shared" si="19"/>
        <v>0</v>
      </c>
      <c r="Q86" s="31">
        <f t="shared" si="19"/>
        <v>0</v>
      </c>
      <c r="R86" s="31">
        <f t="shared" si="19"/>
        <v>0</v>
      </c>
      <c r="S86" s="31">
        <f t="shared" si="19"/>
        <v>0</v>
      </c>
      <c r="T86" s="31">
        <f t="shared" si="19"/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79"/>
      <c r="AG86" s="79"/>
      <c r="AI86" s="44"/>
    </row>
    <row r="87" spans="1:35" s="1" customFormat="1" ht="25.5" hidden="1" outlineLevel="1" x14ac:dyDescent="0.25">
      <c r="A87" s="20" t="s">
        <v>202</v>
      </c>
      <c r="B87" s="89" t="s">
        <v>39</v>
      </c>
      <c r="C87" s="90" t="s">
        <v>4</v>
      </c>
      <c r="D87" s="91" t="s">
        <v>216</v>
      </c>
      <c r="E87" s="93" t="s">
        <v>383</v>
      </c>
      <c r="F87" s="13" t="s">
        <v>383</v>
      </c>
      <c r="G87" s="13" t="s">
        <v>383</v>
      </c>
      <c r="H87" s="13" t="s">
        <v>383</v>
      </c>
      <c r="I87" s="13" t="s">
        <v>383</v>
      </c>
      <c r="J87" s="13" t="s">
        <v>383</v>
      </c>
      <c r="K87" s="13" t="s">
        <v>383</v>
      </c>
      <c r="L87" s="13" t="s">
        <v>383</v>
      </c>
      <c r="M87" s="13" t="s">
        <v>383</v>
      </c>
      <c r="N87" s="13" t="s">
        <v>383</v>
      </c>
      <c r="O87" s="13" t="s">
        <v>383</v>
      </c>
      <c r="P87" s="13" t="s">
        <v>383</v>
      </c>
      <c r="Q87" s="13" t="s">
        <v>383</v>
      </c>
      <c r="R87" s="13" t="s">
        <v>383</v>
      </c>
      <c r="S87" s="13" t="s">
        <v>383</v>
      </c>
      <c r="T87" s="13" t="s">
        <v>383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79"/>
      <c r="AG87" s="79"/>
      <c r="AI87" s="44"/>
    </row>
    <row r="88" spans="1:35" s="1" customFormat="1" ht="25.5" hidden="1" outlineLevel="1" x14ac:dyDescent="0.25">
      <c r="A88" s="9" t="s">
        <v>203</v>
      </c>
      <c r="B88" s="16" t="s">
        <v>51</v>
      </c>
      <c r="C88" s="15" t="s">
        <v>38</v>
      </c>
      <c r="D88" s="33" t="s">
        <v>217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79"/>
      <c r="AG88" s="79"/>
    </row>
    <row r="89" spans="1:35" s="1" customFormat="1" ht="41.25" hidden="1" customHeight="1" outlineLevel="1" x14ac:dyDescent="0.25">
      <c r="A89" s="19" t="s">
        <v>250</v>
      </c>
      <c r="B89" s="11" t="s">
        <v>52</v>
      </c>
      <c r="C89" s="15" t="s">
        <v>4</v>
      </c>
      <c r="D89" s="33" t="s">
        <v>218</v>
      </c>
      <c r="E89" s="9" t="s">
        <v>383</v>
      </c>
      <c r="F89" s="9" t="s">
        <v>383</v>
      </c>
      <c r="G89" s="9" t="s">
        <v>383</v>
      </c>
      <c r="H89" s="9" t="s">
        <v>383</v>
      </c>
      <c r="I89" s="9" t="s">
        <v>383</v>
      </c>
      <c r="J89" s="9" t="s">
        <v>383</v>
      </c>
      <c r="K89" s="9" t="s">
        <v>383</v>
      </c>
      <c r="L89" s="9" t="s">
        <v>383</v>
      </c>
      <c r="M89" s="9" t="s">
        <v>383</v>
      </c>
      <c r="N89" s="9" t="s">
        <v>383</v>
      </c>
      <c r="O89" s="9" t="s">
        <v>383</v>
      </c>
      <c r="P89" s="9" t="s">
        <v>383</v>
      </c>
      <c r="Q89" s="9" t="s">
        <v>383</v>
      </c>
      <c r="R89" s="9" t="s">
        <v>383</v>
      </c>
      <c r="S89" s="9" t="s">
        <v>383</v>
      </c>
      <c r="T89" s="9" t="s">
        <v>383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79"/>
      <c r="AG89" s="79"/>
      <c r="AI89" s="44"/>
    </row>
    <row r="90" spans="1:35" s="1" customFormat="1" ht="25.5" hidden="1" outlineLevel="1" x14ac:dyDescent="0.25">
      <c r="A90" s="15" t="s">
        <v>251</v>
      </c>
      <c r="B90" s="16" t="s">
        <v>53</v>
      </c>
      <c r="C90" s="15" t="s">
        <v>4</v>
      </c>
      <c r="D90" s="33" t="s">
        <v>201</v>
      </c>
      <c r="E90" s="9" t="s">
        <v>373</v>
      </c>
      <c r="F90" s="9" t="s">
        <v>373</v>
      </c>
      <c r="G90" s="9" t="s">
        <v>373</v>
      </c>
      <c r="H90" s="9" t="s">
        <v>373</v>
      </c>
      <c r="I90" s="9" t="s">
        <v>373</v>
      </c>
      <c r="J90" s="9" t="s">
        <v>373</v>
      </c>
      <c r="K90" s="9" t="s">
        <v>373</v>
      </c>
      <c r="L90" s="9" t="s">
        <v>373</v>
      </c>
      <c r="M90" s="9" t="s">
        <v>373</v>
      </c>
      <c r="N90" s="9" t="s">
        <v>373</v>
      </c>
      <c r="O90" s="9" t="s">
        <v>373</v>
      </c>
      <c r="P90" s="9" t="s">
        <v>373</v>
      </c>
      <c r="Q90" s="9" t="s">
        <v>373</v>
      </c>
      <c r="R90" s="9" t="s">
        <v>373</v>
      </c>
      <c r="S90" s="9" t="s">
        <v>373</v>
      </c>
      <c r="T90" s="9" t="s">
        <v>373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79"/>
      <c r="AG90" s="79"/>
      <c r="AI90" s="44"/>
    </row>
    <row r="91" spans="1:35" s="1" customFormat="1" hidden="1" outlineLevel="1" x14ac:dyDescent="0.25">
      <c r="A91" s="15" t="s">
        <v>252</v>
      </c>
      <c r="B91" s="16" t="s">
        <v>2</v>
      </c>
      <c r="C91" s="15" t="s">
        <v>4</v>
      </c>
      <c r="D91" s="33" t="s">
        <v>201</v>
      </c>
      <c r="E91" s="17" t="s">
        <v>357</v>
      </c>
      <c r="F91" s="32" t="s">
        <v>357</v>
      </c>
      <c r="G91" s="32" t="s">
        <v>357</v>
      </c>
      <c r="H91" s="32" t="s">
        <v>357</v>
      </c>
      <c r="I91" s="32" t="s">
        <v>357</v>
      </c>
      <c r="J91" s="32" t="s">
        <v>357</v>
      </c>
      <c r="K91" s="32" t="s">
        <v>357</v>
      </c>
      <c r="L91" s="32" t="s">
        <v>357</v>
      </c>
      <c r="M91" s="32" t="s">
        <v>357</v>
      </c>
      <c r="N91" s="32" t="s">
        <v>357</v>
      </c>
      <c r="O91" s="17" t="s">
        <v>357</v>
      </c>
      <c r="P91" s="32" t="s">
        <v>357</v>
      </c>
      <c r="Q91" s="32" t="s">
        <v>357</v>
      </c>
      <c r="R91" s="32" t="s">
        <v>357</v>
      </c>
      <c r="S91" s="32" t="s">
        <v>357</v>
      </c>
      <c r="T91" s="32" t="s">
        <v>357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79"/>
      <c r="AG91" s="79"/>
      <c r="AI91" s="44"/>
    </row>
    <row r="92" spans="1:35" s="1" customFormat="1" hidden="1" outlineLevel="1" x14ac:dyDescent="0.25">
      <c r="A92" s="15" t="s">
        <v>253</v>
      </c>
      <c r="B92" s="16" t="s">
        <v>54</v>
      </c>
      <c r="C92" s="15" t="s">
        <v>38</v>
      </c>
      <c r="D92" s="33" t="s">
        <v>201</v>
      </c>
      <c r="E92" s="31">
        <f>E88/E$12</f>
        <v>0</v>
      </c>
      <c r="F92" s="31">
        <f t="shared" ref="F92:T92" si="21">F88/F$12</f>
        <v>0</v>
      </c>
      <c r="G92" s="31">
        <f t="shared" ref="G92:J92" si="22">G88/G$12</f>
        <v>0</v>
      </c>
      <c r="H92" s="31">
        <f t="shared" si="22"/>
        <v>0</v>
      </c>
      <c r="I92" s="31">
        <f t="shared" si="22"/>
        <v>0</v>
      </c>
      <c r="J92" s="31" t="e">
        <f t="shared" si="22"/>
        <v>#DIV/0!</v>
      </c>
      <c r="K92" s="31">
        <f t="shared" si="21"/>
        <v>0</v>
      </c>
      <c r="L92" s="31">
        <f t="shared" si="21"/>
        <v>0</v>
      </c>
      <c r="M92" s="31">
        <f t="shared" si="21"/>
        <v>0</v>
      </c>
      <c r="N92" s="31">
        <f t="shared" si="21"/>
        <v>0</v>
      </c>
      <c r="O92" s="31">
        <f t="shared" si="21"/>
        <v>0</v>
      </c>
      <c r="P92" s="31">
        <f t="shared" si="21"/>
        <v>0</v>
      </c>
      <c r="Q92" s="31">
        <f t="shared" si="21"/>
        <v>0</v>
      </c>
      <c r="R92" s="31">
        <f t="shared" si="21"/>
        <v>0</v>
      </c>
      <c r="S92" s="31">
        <f t="shared" si="21"/>
        <v>0</v>
      </c>
      <c r="T92" s="31">
        <f t="shared" si="21"/>
        <v>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79"/>
      <c r="AG92" s="79"/>
      <c r="AI92" s="44"/>
    </row>
    <row r="93" spans="1:35" s="1" customFormat="1" collapsed="1" x14ac:dyDescent="0.25">
      <c r="A93" s="20" t="s">
        <v>202</v>
      </c>
      <c r="B93" s="89" t="s">
        <v>39</v>
      </c>
      <c r="C93" s="90" t="s">
        <v>4</v>
      </c>
      <c r="D93" s="91" t="s">
        <v>216</v>
      </c>
      <c r="E93" s="93" t="s">
        <v>377</v>
      </c>
      <c r="F93" s="13" t="s">
        <v>377</v>
      </c>
      <c r="G93" s="13" t="s">
        <v>377</v>
      </c>
      <c r="H93" s="13" t="s">
        <v>377</v>
      </c>
      <c r="I93" s="13" t="s">
        <v>377</v>
      </c>
      <c r="J93" s="13" t="s">
        <v>377</v>
      </c>
      <c r="K93" s="13" t="s">
        <v>377</v>
      </c>
      <c r="L93" s="13" t="s">
        <v>377</v>
      </c>
      <c r="M93" s="13" t="s">
        <v>377</v>
      </c>
      <c r="N93" s="13" t="s">
        <v>377</v>
      </c>
      <c r="O93" s="13" t="s">
        <v>377</v>
      </c>
      <c r="P93" s="13" t="s">
        <v>377</v>
      </c>
      <c r="Q93" s="13" t="s">
        <v>377</v>
      </c>
      <c r="R93" s="13" t="s">
        <v>377</v>
      </c>
      <c r="S93" s="13" t="s">
        <v>377</v>
      </c>
      <c r="T93" s="13" t="s">
        <v>377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79"/>
      <c r="AG93" s="79"/>
      <c r="AI93" s="44"/>
    </row>
    <row r="94" spans="1:35" s="1" customFormat="1" ht="25.5" x14ac:dyDescent="0.25">
      <c r="A94" s="9" t="s">
        <v>203</v>
      </c>
      <c r="B94" s="16" t="s">
        <v>51</v>
      </c>
      <c r="C94" s="15" t="s">
        <v>38</v>
      </c>
      <c r="D94" s="33" t="s">
        <v>217</v>
      </c>
      <c r="E94" s="31">
        <v>5329.8</v>
      </c>
      <c r="F94" s="31">
        <v>5363.82</v>
      </c>
      <c r="G94" s="31">
        <v>2593.35</v>
      </c>
      <c r="H94" s="31">
        <v>1639.68</v>
      </c>
      <c r="I94" s="31">
        <v>1982.62</v>
      </c>
      <c r="J94" s="31">
        <v>7557</v>
      </c>
      <c r="K94" s="31">
        <v>5537.52</v>
      </c>
      <c r="L94" s="31">
        <v>1359.93</v>
      </c>
      <c r="M94" s="31">
        <v>82.5</v>
      </c>
      <c r="N94" s="31">
        <v>0</v>
      </c>
      <c r="O94" s="31">
        <v>0</v>
      </c>
      <c r="P94" s="31">
        <v>0</v>
      </c>
      <c r="Q94" s="31">
        <v>82.5</v>
      </c>
      <c r="R94" s="31">
        <v>82.5</v>
      </c>
      <c r="S94" s="31">
        <v>82.5</v>
      </c>
      <c r="T94" s="31">
        <v>0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79"/>
      <c r="AG94" s="79"/>
    </row>
    <row r="95" spans="1:35" s="1" customFormat="1" ht="51" x14ac:dyDescent="0.25">
      <c r="A95" s="19" t="s">
        <v>254</v>
      </c>
      <c r="B95" s="11" t="s">
        <v>52</v>
      </c>
      <c r="C95" s="15" t="s">
        <v>4</v>
      </c>
      <c r="D95" s="33" t="s">
        <v>218</v>
      </c>
      <c r="E95" s="9" t="s">
        <v>378</v>
      </c>
      <c r="F95" s="9" t="s">
        <v>378</v>
      </c>
      <c r="G95" s="9" t="s">
        <v>378</v>
      </c>
      <c r="H95" s="9" t="s">
        <v>378</v>
      </c>
      <c r="I95" s="9" t="s">
        <v>378</v>
      </c>
      <c r="J95" s="9" t="s">
        <v>378</v>
      </c>
      <c r="K95" s="9" t="s">
        <v>378</v>
      </c>
      <c r="L95" s="9" t="s">
        <v>378</v>
      </c>
      <c r="M95" s="9" t="s">
        <v>378</v>
      </c>
      <c r="N95" s="9" t="s">
        <v>378</v>
      </c>
      <c r="O95" s="9" t="s">
        <v>378</v>
      </c>
      <c r="P95" s="9" t="s">
        <v>378</v>
      </c>
      <c r="Q95" s="9" t="s">
        <v>378</v>
      </c>
      <c r="R95" s="9" t="s">
        <v>378</v>
      </c>
      <c r="S95" s="9" t="s">
        <v>378</v>
      </c>
      <c r="T95" s="9" t="s">
        <v>378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79"/>
      <c r="AG95" s="79"/>
      <c r="AI95" s="44"/>
    </row>
    <row r="96" spans="1:35" s="1" customFormat="1" ht="25.5" x14ac:dyDescent="0.25">
      <c r="A96" s="15" t="s">
        <v>255</v>
      </c>
      <c r="B96" s="16" t="s">
        <v>53</v>
      </c>
      <c r="C96" s="15" t="s">
        <v>4</v>
      </c>
      <c r="D96" s="33" t="s">
        <v>201</v>
      </c>
      <c r="E96" s="9" t="s">
        <v>379</v>
      </c>
      <c r="F96" s="9" t="s">
        <v>379</v>
      </c>
      <c r="G96" s="9" t="s">
        <v>379</v>
      </c>
      <c r="H96" s="9" t="s">
        <v>379</v>
      </c>
      <c r="I96" s="9" t="s">
        <v>379</v>
      </c>
      <c r="J96" s="9" t="s">
        <v>379</v>
      </c>
      <c r="K96" s="9" t="s">
        <v>379</v>
      </c>
      <c r="L96" s="9" t="s">
        <v>379</v>
      </c>
      <c r="M96" s="9" t="s">
        <v>379</v>
      </c>
      <c r="N96" s="9" t="s">
        <v>379</v>
      </c>
      <c r="O96" s="9" t="s">
        <v>379</v>
      </c>
      <c r="P96" s="9" t="s">
        <v>379</v>
      </c>
      <c r="Q96" s="9" t="s">
        <v>379</v>
      </c>
      <c r="R96" s="9" t="s">
        <v>379</v>
      </c>
      <c r="S96" s="9" t="s">
        <v>379</v>
      </c>
      <c r="T96" s="9" t="s">
        <v>379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79"/>
      <c r="AG96" s="79"/>
      <c r="AI96" s="44"/>
    </row>
    <row r="97" spans="1:36" s="1" customFormat="1" x14ac:dyDescent="0.25">
      <c r="A97" s="15" t="s">
        <v>256</v>
      </c>
      <c r="B97" s="16" t="s">
        <v>2</v>
      </c>
      <c r="C97" s="15" t="s">
        <v>4</v>
      </c>
      <c r="D97" s="33" t="s">
        <v>201</v>
      </c>
      <c r="E97" s="17" t="s">
        <v>380</v>
      </c>
      <c r="F97" s="17" t="s">
        <v>380</v>
      </c>
      <c r="G97" s="17" t="s">
        <v>380</v>
      </c>
      <c r="H97" s="17" t="s">
        <v>380</v>
      </c>
      <c r="I97" s="17" t="s">
        <v>380</v>
      </c>
      <c r="J97" s="17" t="s">
        <v>380</v>
      </c>
      <c r="K97" s="17" t="s">
        <v>380</v>
      </c>
      <c r="L97" s="17" t="s">
        <v>380</v>
      </c>
      <c r="M97" s="17" t="s">
        <v>380</v>
      </c>
      <c r="N97" s="17" t="s">
        <v>380</v>
      </c>
      <c r="O97" s="17" t="s">
        <v>380</v>
      </c>
      <c r="P97" s="17" t="s">
        <v>380</v>
      </c>
      <c r="Q97" s="17" t="s">
        <v>380</v>
      </c>
      <c r="R97" s="17" t="s">
        <v>380</v>
      </c>
      <c r="S97" s="17" t="s">
        <v>380</v>
      </c>
      <c r="T97" s="17" t="s">
        <v>380</v>
      </c>
      <c r="U97" s="17"/>
      <c r="V97" s="17"/>
      <c r="W97" s="17"/>
      <c r="X97" s="17"/>
      <c r="Y97" s="17"/>
      <c r="Z97" s="32"/>
      <c r="AA97" s="17"/>
      <c r="AB97" s="17"/>
      <c r="AC97" s="17"/>
      <c r="AD97" s="17"/>
      <c r="AE97" s="17"/>
      <c r="AF97" s="79"/>
      <c r="AG97" s="79"/>
      <c r="AI97" s="44"/>
    </row>
    <row r="98" spans="1:36" s="1" customFormat="1" x14ac:dyDescent="0.25">
      <c r="A98" s="15" t="s">
        <v>257</v>
      </c>
      <c r="B98" s="16" t="s">
        <v>54</v>
      </c>
      <c r="C98" s="15" t="s">
        <v>38</v>
      </c>
      <c r="D98" s="33" t="s">
        <v>201</v>
      </c>
      <c r="E98" s="31">
        <f>E94/E$12</f>
        <v>3.126962455247411E-3</v>
      </c>
      <c r="F98" s="31">
        <f t="shared" ref="F98:T98" si="23">F94/F$12</f>
        <v>3.1265756722950546E-3</v>
      </c>
      <c r="G98" s="31">
        <f t="shared" ref="G98:J98" si="24">G94/G$12</f>
        <v>5.7595044927288685E-3</v>
      </c>
      <c r="H98" s="31">
        <f t="shared" si="24"/>
        <v>6.8578954130797893E-3</v>
      </c>
      <c r="I98" s="31">
        <f t="shared" si="24"/>
        <v>3.6096531412486573E-3</v>
      </c>
      <c r="J98" s="31" t="e">
        <f t="shared" si="24"/>
        <v>#DIV/0!</v>
      </c>
      <c r="K98" s="31">
        <f t="shared" si="23"/>
        <v>6.6443641614838513E-3</v>
      </c>
      <c r="L98" s="31">
        <f t="shared" si="23"/>
        <v>1.6535023072711947E-3</v>
      </c>
      <c r="M98" s="31">
        <f t="shared" si="23"/>
        <v>4.8872722516320817E-4</v>
      </c>
      <c r="N98" s="31">
        <f t="shared" si="23"/>
        <v>0</v>
      </c>
      <c r="O98" s="31">
        <f t="shared" si="23"/>
        <v>0</v>
      </c>
      <c r="P98" s="31">
        <f t="shared" si="23"/>
        <v>0</v>
      </c>
      <c r="Q98" s="31">
        <f t="shared" si="23"/>
        <v>7.1856575320846132E-4</v>
      </c>
      <c r="R98" s="31">
        <f t="shared" si="23"/>
        <v>6.9658556553122374E-4</v>
      </c>
      <c r="S98" s="31">
        <f t="shared" si="23"/>
        <v>7.2336053841171586E-4</v>
      </c>
      <c r="T98" s="31">
        <f t="shared" si="23"/>
        <v>0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79"/>
      <c r="AG98" s="79"/>
      <c r="AI98" s="44"/>
    </row>
    <row r="99" spans="1:36" s="1" customFormat="1" hidden="1" outlineLevel="1" x14ac:dyDescent="0.25">
      <c r="A99" s="20" t="s">
        <v>202</v>
      </c>
      <c r="B99" s="89" t="s">
        <v>39</v>
      </c>
      <c r="C99" s="90" t="s">
        <v>4</v>
      </c>
      <c r="D99" s="91" t="s">
        <v>216</v>
      </c>
      <c r="E99" s="93" t="s">
        <v>384</v>
      </c>
      <c r="F99" s="13" t="s">
        <v>384</v>
      </c>
      <c r="G99" s="13" t="s">
        <v>384</v>
      </c>
      <c r="H99" s="13" t="s">
        <v>384</v>
      </c>
      <c r="I99" s="13" t="s">
        <v>384</v>
      </c>
      <c r="J99" s="13" t="s">
        <v>384</v>
      </c>
      <c r="K99" s="13" t="s">
        <v>384</v>
      </c>
      <c r="L99" s="13" t="s">
        <v>384</v>
      </c>
      <c r="M99" s="13" t="s">
        <v>384</v>
      </c>
      <c r="N99" s="13" t="s">
        <v>384</v>
      </c>
      <c r="O99" s="13" t="s">
        <v>384</v>
      </c>
      <c r="P99" s="13" t="s">
        <v>384</v>
      </c>
      <c r="Q99" s="13" t="s">
        <v>384</v>
      </c>
      <c r="R99" s="13" t="s">
        <v>384</v>
      </c>
      <c r="S99" s="13" t="s">
        <v>384</v>
      </c>
      <c r="T99" s="13" t="s">
        <v>384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79"/>
      <c r="AG99" s="79"/>
      <c r="AI99" s="44"/>
    </row>
    <row r="100" spans="1:36" s="1" customFormat="1" ht="25.5" hidden="1" outlineLevel="1" x14ac:dyDescent="0.25">
      <c r="A100" s="9" t="s">
        <v>203</v>
      </c>
      <c r="B100" s="16" t="s">
        <v>51</v>
      </c>
      <c r="C100" s="15" t="s">
        <v>38</v>
      </c>
      <c r="D100" s="33" t="s">
        <v>217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79"/>
      <c r="AG100" s="79"/>
      <c r="AH100" s="44"/>
    </row>
    <row r="101" spans="1:36" s="1" customFormat="1" ht="76.5" hidden="1" outlineLevel="1" x14ac:dyDescent="0.25">
      <c r="A101" s="19" t="s">
        <v>258</v>
      </c>
      <c r="B101" s="11" t="s">
        <v>52</v>
      </c>
      <c r="C101" s="15" t="s">
        <v>4</v>
      </c>
      <c r="D101" s="33" t="s">
        <v>218</v>
      </c>
      <c r="E101" s="9" t="s">
        <v>385</v>
      </c>
      <c r="F101" s="9" t="s">
        <v>385</v>
      </c>
      <c r="G101" s="9" t="s">
        <v>385</v>
      </c>
      <c r="H101" s="9" t="s">
        <v>385</v>
      </c>
      <c r="I101" s="9" t="s">
        <v>385</v>
      </c>
      <c r="J101" s="9" t="s">
        <v>385</v>
      </c>
      <c r="K101" s="9" t="s">
        <v>385</v>
      </c>
      <c r="L101" s="9" t="s">
        <v>385</v>
      </c>
      <c r="M101" s="9" t="s">
        <v>385</v>
      </c>
      <c r="N101" s="9" t="s">
        <v>385</v>
      </c>
      <c r="O101" s="9" t="s">
        <v>385</v>
      </c>
      <c r="P101" s="9" t="s">
        <v>385</v>
      </c>
      <c r="Q101" s="9" t="s">
        <v>385</v>
      </c>
      <c r="R101" s="9" t="s">
        <v>385</v>
      </c>
      <c r="S101" s="9" t="s">
        <v>385</v>
      </c>
      <c r="T101" s="9" t="s">
        <v>385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79"/>
      <c r="AG101" s="79"/>
      <c r="AI101" s="44"/>
    </row>
    <row r="102" spans="1:36" s="1" customFormat="1" ht="25.5" hidden="1" outlineLevel="1" x14ac:dyDescent="0.25">
      <c r="A102" s="15" t="s">
        <v>259</v>
      </c>
      <c r="B102" s="16" t="s">
        <v>53</v>
      </c>
      <c r="C102" s="15" t="s">
        <v>4</v>
      </c>
      <c r="D102" s="33" t="s">
        <v>201</v>
      </c>
      <c r="E102" s="9" t="s">
        <v>356</v>
      </c>
      <c r="F102" s="9" t="s">
        <v>356</v>
      </c>
      <c r="G102" s="9" t="s">
        <v>356</v>
      </c>
      <c r="H102" s="9" t="s">
        <v>356</v>
      </c>
      <c r="I102" s="9" t="s">
        <v>356</v>
      </c>
      <c r="J102" s="9" t="s">
        <v>356</v>
      </c>
      <c r="K102" s="9" t="s">
        <v>356</v>
      </c>
      <c r="L102" s="9" t="s">
        <v>356</v>
      </c>
      <c r="M102" s="9" t="s">
        <v>356</v>
      </c>
      <c r="N102" s="9" t="s">
        <v>356</v>
      </c>
      <c r="O102" s="9" t="s">
        <v>356</v>
      </c>
      <c r="P102" s="9" t="s">
        <v>356</v>
      </c>
      <c r="Q102" s="9" t="s">
        <v>356</v>
      </c>
      <c r="R102" s="9" t="s">
        <v>356</v>
      </c>
      <c r="S102" s="9" t="s">
        <v>356</v>
      </c>
      <c r="T102" s="9" t="s">
        <v>356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79"/>
      <c r="AG102" s="79"/>
      <c r="AI102" s="44"/>
    </row>
    <row r="103" spans="1:36" s="1" customFormat="1" hidden="1" outlineLevel="1" x14ac:dyDescent="0.25">
      <c r="A103" s="15" t="s">
        <v>260</v>
      </c>
      <c r="B103" s="16" t="s">
        <v>2</v>
      </c>
      <c r="C103" s="15" t="s">
        <v>4</v>
      </c>
      <c r="D103" s="33" t="s">
        <v>201</v>
      </c>
      <c r="E103" s="17" t="s">
        <v>380</v>
      </c>
      <c r="F103" s="17" t="s">
        <v>380</v>
      </c>
      <c r="G103" s="17" t="s">
        <v>380</v>
      </c>
      <c r="H103" s="17" t="s">
        <v>380</v>
      </c>
      <c r="I103" s="17" t="s">
        <v>380</v>
      </c>
      <c r="J103" s="17" t="s">
        <v>380</v>
      </c>
      <c r="K103" s="17" t="s">
        <v>380</v>
      </c>
      <c r="L103" s="17" t="s">
        <v>380</v>
      </c>
      <c r="M103" s="17" t="s">
        <v>380</v>
      </c>
      <c r="N103" s="17" t="s">
        <v>380</v>
      </c>
      <c r="O103" s="17" t="s">
        <v>380</v>
      </c>
      <c r="P103" s="17" t="s">
        <v>380</v>
      </c>
      <c r="Q103" s="17" t="s">
        <v>380</v>
      </c>
      <c r="R103" s="17" t="s">
        <v>380</v>
      </c>
      <c r="S103" s="17" t="s">
        <v>380</v>
      </c>
      <c r="T103" s="17" t="s">
        <v>380</v>
      </c>
      <c r="U103" s="17"/>
      <c r="V103" s="17"/>
      <c r="W103" s="17"/>
      <c r="X103" s="17"/>
      <c r="Y103" s="17"/>
      <c r="Z103" s="32"/>
      <c r="AA103" s="17"/>
      <c r="AB103" s="17"/>
      <c r="AC103" s="17"/>
      <c r="AD103" s="17"/>
      <c r="AE103" s="17"/>
      <c r="AF103" s="79"/>
      <c r="AG103" s="79"/>
      <c r="AI103" s="44"/>
    </row>
    <row r="104" spans="1:36" s="1" customFormat="1" hidden="1" outlineLevel="1" x14ac:dyDescent="0.25">
      <c r="A104" s="15" t="s">
        <v>261</v>
      </c>
      <c r="B104" s="16" t="s">
        <v>54</v>
      </c>
      <c r="C104" s="15" t="s">
        <v>38</v>
      </c>
      <c r="D104" s="33" t="s">
        <v>201</v>
      </c>
      <c r="E104" s="31">
        <f>E100/E$12</f>
        <v>0</v>
      </c>
      <c r="F104" s="31">
        <f t="shared" ref="F104:T104" si="25">F100/F$12</f>
        <v>0</v>
      </c>
      <c r="G104" s="31">
        <f t="shared" ref="G104:J104" si="26">G100/G$12</f>
        <v>0</v>
      </c>
      <c r="H104" s="31">
        <f t="shared" si="26"/>
        <v>0</v>
      </c>
      <c r="I104" s="31">
        <f t="shared" si="26"/>
        <v>0</v>
      </c>
      <c r="J104" s="31" t="e">
        <f t="shared" si="26"/>
        <v>#DIV/0!</v>
      </c>
      <c r="K104" s="31">
        <f t="shared" si="25"/>
        <v>0</v>
      </c>
      <c r="L104" s="31">
        <f t="shared" si="25"/>
        <v>0</v>
      </c>
      <c r="M104" s="31">
        <f t="shared" si="25"/>
        <v>0</v>
      </c>
      <c r="N104" s="31">
        <f t="shared" si="25"/>
        <v>0</v>
      </c>
      <c r="O104" s="31">
        <f t="shared" si="25"/>
        <v>0</v>
      </c>
      <c r="P104" s="31">
        <f t="shared" si="25"/>
        <v>0</v>
      </c>
      <c r="Q104" s="31">
        <f t="shared" si="25"/>
        <v>0</v>
      </c>
      <c r="R104" s="31">
        <f t="shared" si="25"/>
        <v>0</v>
      </c>
      <c r="S104" s="31">
        <f t="shared" si="25"/>
        <v>0</v>
      </c>
      <c r="T104" s="31">
        <f t="shared" si="25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79"/>
      <c r="AG104" s="79"/>
      <c r="AI104" s="44"/>
    </row>
    <row r="105" spans="1:36" s="1" customFormat="1" hidden="1" outlineLevel="1" x14ac:dyDescent="0.25">
      <c r="A105" s="20" t="s">
        <v>202</v>
      </c>
      <c r="B105" s="89" t="s">
        <v>39</v>
      </c>
      <c r="C105" s="90" t="s">
        <v>4</v>
      </c>
      <c r="D105" s="91" t="s">
        <v>216</v>
      </c>
      <c r="E105" s="93" t="s">
        <v>386</v>
      </c>
      <c r="F105" s="13" t="s">
        <v>386</v>
      </c>
      <c r="G105" s="13" t="s">
        <v>386</v>
      </c>
      <c r="H105" s="13" t="s">
        <v>386</v>
      </c>
      <c r="I105" s="13" t="s">
        <v>386</v>
      </c>
      <c r="J105" s="13" t="s">
        <v>386</v>
      </c>
      <c r="K105" s="13" t="s">
        <v>386</v>
      </c>
      <c r="L105" s="13" t="s">
        <v>386</v>
      </c>
      <c r="M105" s="13" t="s">
        <v>386</v>
      </c>
      <c r="N105" s="13" t="s">
        <v>386</v>
      </c>
      <c r="O105" s="13" t="s">
        <v>386</v>
      </c>
      <c r="P105" s="13" t="s">
        <v>386</v>
      </c>
      <c r="Q105" s="13" t="s">
        <v>386</v>
      </c>
      <c r="R105" s="13" t="s">
        <v>386</v>
      </c>
      <c r="S105" s="13" t="s">
        <v>386</v>
      </c>
      <c r="T105" s="13" t="s">
        <v>386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79"/>
      <c r="AG105" s="79"/>
      <c r="AI105" s="44"/>
    </row>
    <row r="106" spans="1:36" s="1" customFormat="1" ht="25.5" hidden="1" outlineLevel="1" x14ac:dyDescent="0.25">
      <c r="A106" s="9" t="s">
        <v>203</v>
      </c>
      <c r="B106" s="16" t="s">
        <v>51</v>
      </c>
      <c r="C106" s="15" t="s">
        <v>38</v>
      </c>
      <c r="D106" s="33" t="s">
        <v>217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6"/>
      <c r="AA106" s="31"/>
      <c r="AB106" s="31"/>
      <c r="AC106" s="31"/>
      <c r="AD106" s="31"/>
      <c r="AE106" s="31"/>
      <c r="AF106" s="79"/>
      <c r="AG106" s="79"/>
      <c r="AI106" s="44"/>
    </row>
    <row r="107" spans="1:36" s="1" customFormat="1" ht="41.25" hidden="1" customHeight="1" outlineLevel="1" x14ac:dyDescent="0.25">
      <c r="A107" s="19" t="s">
        <v>262</v>
      </c>
      <c r="B107" s="11" t="s">
        <v>52</v>
      </c>
      <c r="C107" s="15" t="s">
        <v>4</v>
      </c>
      <c r="D107" s="33" t="s">
        <v>218</v>
      </c>
      <c r="E107" s="9" t="s">
        <v>386</v>
      </c>
      <c r="F107" s="9" t="s">
        <v>386</v>
      </c>
      <c r="G107" s="9" t="s">
        <v>386</v>
      </c>
      <c r="H107" s="9" t="s">
        <v>386</v>
      </c>
      <c r="I107" s="9" t="s">
        <v>386</v>
      </c>
      <c r="J107" s="9" t="s">
        <v>386</v>
      </c>
      <c r="K107" s="9" t="s">
        <v>386</v>
      </c>
      <c r="L107" s="9" t="s">
        <v>386</v>
      </c>
      <c r="M107" s="9" t="s">
        <v>386</v>
      </c>
      <c r="N107" s="9" t="s">
        <v>386</v>
      </c>
      <c r="O107" s="9" t="s">
        <v>386</v>
      </c>
      <c r="P107" s="9" t="s">
        <v>386</v>
      </c>
      <c r="Q107" s="9" t="s">
        <v>386</v>
      </c>
      <c r="R107" s="9" t="s">
        <v>386</v>
      </c>
      <c r="S107" s="9" t="s">
        <v>386</v>
      </c>
      <c r="T107" s="9" t="s">
        <v>386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79"/>
      <c r="AG107" s="79"/>
      <c r="AI107" s="44"/>
    </row>
    <row r="108" spans="1:36" s="1" customFormat="1" ht="25.5" hidden="1" outlineLevel="1" x14ac:dyDescent="0.25">
      <c r="A108" s="15" t="s">
        <v>263</v>
      </c>
      <c r="B108" s="16" t="s">
        <v>53</v>
      </c>
      <c r="C108" s="15" t="s">
        <v>4</v>
      </c>
      <c r="D108" s="33" t="s">
        <v>201</v>
      </c>
      <c r="E108" s="9" t="s">
        <v>373</v>
      </c>
      <c r="F108" s="9" t="s">
        <v>373</v>
      </c>
      <c r="G108" s="9" t="s">
        <v>373</v>
      </c>
      <c r="H108" s="9" t="s">
        <v>373</v>
      </c>
      <c r="I108" s="9" t="s">
        <v>373</v>
      </c>
      <c r="J108" s="9" t="s">
        <v>373</v>
      </c>
      <c r="K108" s="9" t="s">
        <v>373</v>
      </c>
      <c r="L108" s="9" t="s">
        <v>373</v>
      </c>
      <c r="M108" s="9" t="s">
        <v>373</v>
      </c>
      <c r="N108" s="9" t="s">
        <v>373</v>
      </c>
      <c r="O108" s="9" t="s">
        <v>373</v>
      </c>
      <c r="P108" s="9" t="s">
        <v>373</v>
      </c>
      <c r="Q108" s="9" t="s">
        <v>373</v>
      </c>
      <c r="R108" s="9" t="s">
        <v>373</v>
      </c>
      <c r="S108" s="9" t="s">
        <v>373</v>
      </c>
      <c r="T108" s="9" t="s">
        <v>373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79"/>
      <c r="AG108" s="79"/>
      <c r="AI108" s="44"/>
    </row>
    <row r="109" spans="1:36" s="1" customFormat="1" hidden="1" outlineLevel="1" x14ac:dyDescent="0.25">
      <c r="A109" s="15" t="s">
        <v>264</v>
      </c>
      <c r="B109" s="16" t="s">
        <v>2</v>
      </c>
      <c r="C109" s="15" t="s">
        <v>4</v>
      </c>
      <c r="D109" s="33" t="s">
        <v>201</v>
      </c>
      <c r="E109" s="17" t="s">
        <v>380</v>
      </c>
      <c r="F109" s="17" t="s">
        <v>380</v>
      </c>
      <c r="G109" s="17" t="s">
        <v>380</v>
      </c>
      <c r="H109" s="17" t="s">
        <v>380</v>
      </c>
      <c r="I109" s="17" t="s">
        <v>380</v>
      </c>
      <c r="J109" s="17" t="s">
        <v>380</v>
      </c>
      <c r="K109" s="17" t="s">
        <v>380</v>
      </c>
      <c r="L109" s="17" t="s">
        <v>380</v>
      </c>
      <c r="M109" s="17" t="s">
        <v>380</v>
      </c>
      <c r="N109" s="17" t="s">
        <v>380</v>
      </c>
      <c r="O109" s="17" t="s">
        <v>380</v>
      </c>
      <c r="P109" s="17" t="s">
        <v>380</v>
      </c>
      <c r="Q109" s="17" t="s">
        <v>380</v>
      </c>
      <c r="R109" s="17" t="s">
        <v>380</v>
      </c>
      <c r="S109" s="17" t="s">
        <v>380</v>
      </c>
      <c r="T109" s="17" t="s">
        <v>380</v>
      </c>
      <c r="U109" s="17"/>
      <c r="V109" s="17"/>
      <c r="W109" s="17"/>
      <c r="X109" s="17"/>
      <c r="Y109" s="17"/>
      <c r="Z109" s="32"/>
      <c r="AA109" s="17"/>
      <c r="AB109" s="17"/>
      <c r="AC109" s="17"/>
      <c r="AD109" s="17"/>
      <c r="AE109" s="17"/>
      <c r="AF109" s="79"/>
      <c r="AG109" s="79"/>
      <c r="AI109" s="44"/>
    </row>
    <row r="110" spans="1:36" s="1" customFormat="1" hidden="1" outlineLevel="1" x14ac:dyDescent="0.25">
      <c r="A110" s="15" t="s">
        <v>265</v>
      </c>
      <c r="B110" s="16" t="s">
        <v>54</v>
      </c>
      <c r="C110" s="15" t="s">
        <v>38</v>
      </c>
      <c r="D110" s="33" t="s">
        <v>201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6"/>
      <c r="AA110" s="31"/>
      <c r="AB110" s="31"/>
      <c r="AC110" s="31"/>
      <c r="AD110" s="31"/>
      <c r="AE110" s="31"/>
      <c r="AF110" s="79"/>
      <c r="AG110" s="79"/>
      <c r="AI110" s="44"/>
    </row>
    <row r="111" spans="1:36" s="1" customFormat="1" hidden="1" outlineLevel="1" collapsed="1" x14ac:dyDescent="0.25">
      <c r="A111" s="20" t="s">
        <v>202</v>
      </c>
      <c r="B111" s="89" t="s">
        <v>39</v>
      </c>
      <c r="C111" s="90" t="s">
        <v>4</v>
      </c>
      <c r="D111" s="91" t="s">
        <v>216</v>
      </c>
      <c r="E111" s="93" t="s">
        <v>387</v>
      </c>
      <c r="F111" s="13" t="s">
        <v>387</v>
      </c>
      <c r="G111" s="13" t="s">
        <v>387</v>
      </c>
      <c r="H111" s="13" t="s">
        <v>387</v>
      </c>
      <c r="I111" s="13" t="s">
        <v>387</v>
      </c>
      <c r="J111" s="13" t="s">
        <v>387</v>
      </c>
      <c r="K111" s="13" t="s">
        <v>387</v>
      </c>
      <c r="L111" s="13" t="s">
        <v>387</v>
      </c>
      <c r="M111" s="13" t="s">
        <v>387</v>
      </c>
      <c r="N111" s="13" t="s">
        <v>387</v>
      </c>
      <c r="O111" s="13" t="s">
        <v>387</v>
      </c>
      <c r="P111" s="13" t="s">
        <v>387</v>
      </c>
      <c r="Q111" s="13" t="s">
        <v>387</v>
      </c>
      <c r="R111" s="13" t="s">
        <v>387</v>
      </c>
      <c r="S111" s="13" t="s">
        <v>387</v>
      </c>
      <c r="T111" s="13" t="s">
        <v>387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79"/>
      <c r="AG111" s="79"/>
      <c r="AI111" s="44"/>
    </row>
    <row r="112" spans="1:36" s="133" customFormat="1" ht="25.5" hidden="1" outlineLevel="1" x14ac:dyDescent="0.25">
      <c r="A112" s="127" t="s">
        <v>203</v>
      </c>
      <c r="B112" s="128" t="s">
        <v>51</v>
      </c>
      <c r="C112" s="129" t="s">
        <v>38</v>
      </c>
      <c r="D112" s="130" t="s">
        <v>217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71"/>
      <c r="AA112" s="131"/>
      <c r="AB112" s="131"/>
      <c r="AC112" s="131"/>
      <c r="AD112" s="131"/>
      <c r="AE112" s="131"/>
      <c r="AF112" s="132"/>
      <c r="AG112" s="132"/>
      <c r="AJ112" s="135"/>
    </row>
    <row r="113" spans="1:36" s="1" customFormat="1" ht="41.25" hidden="1" customHeight="1" outlineLevel="1" x14ac:dyDescent="0.25">
      <c r="A113" s="19" t="s">
        <v>266</v>
      </c>
      <c r="B113" s="11" t="s">
        <v>52</v>
      </c>
      <c r="C113" s="15" t="s">
        <v>4</v>
      </c>
      <c r="D113" s="33" t="s">
        <v>218</v>
      </c>
      <c r="E113" s="9" t="s">
        <v>388</v>
      </c>
      <c r="F113" s="9" t="s">
        <v>388</v>
      </c>
      <c r="G113" s="9" t="s">
        <v>388</v>
      </c>
      <c r="H113" s="9" t="s">
        <v>388</v>
      </c>
      <c r="I113" s="9" t="s">
        <v>388</v>
      </c>
      <c r="J113" s="9" t="s">
        <v>388</v>
      </c>
      <c r="K113" s="9" t="s">
        <v>388</v>
      </c>
      <c r="L113" s="9" t="s">
        <v>388</v>
      </c>
      <c r="M113" s="9" t="s">
        <v>388</v>
      </c>
      <c r="N113" s="9" t="s">
        <v>388</v>
      </c>
      <c r="O113" s="9" t="s">
        <v>388</v>
      </c>
      <c r="P113" s="9" t="s">
        <v>388</v>
      </c>
      <c r="Q113" s="9" t="s">
        <v>388</v>
      </c>
      <c r="R113" s="9" t="s">
        <v>388</v>
      </c>
      <c r="S113" s="9" t="s">
        <v>388</v>
      </c>
      <c r="T113" s="9" t="s">
        <v>388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79"/>
      <c r="AG113" s="79"/>
      <c r="AJ113" s="44"/>
    </row>
    <row r="114" spans="1:36" s="1" customFormat="1" ht="25.5" hidden="1" outlineLevel="1" x14ac:dyDescent="0.25">
      <c r="A114" s="15" t="s">
        <v>267</v>
      </c>
      <c r="B114" s="16" t="s">
        <v>53</v>
      </c>
      <c r="C114" s="15" t="s">
        <v>4</v>
      </c>
      <c r="D114" s="33" t="s">
        <v>201</v>
      </c>
      <c r="E114" s="17" t="s">
        <v>356</v>
      </c>
      <c r="F114" s="17" t="s">
        <v>356</v>
      </c>
      <c r="G114" s="17" t="s">
        <v>356</v>
      </c>
      <c r="H114" s="17" t="s">
        <v>356</v>
      </c>
      <c r="I114" s="17" t="s">
        <v>356</v>
      </c>
      <c r="J114" s="17" t="s">
        <v>356</v>
      </c>
      <c r="K114" s="17" t="s">
        <v>356</v>
      </c>
      <c r="L114" s="17" t="s">
        <v>356</v>
      </c>
      <c r="M114" s="17" t="s">
        <v>356</v>
      </c>
      <c r="N114" s="17" t="s">
        <v>356</v>
      </c>
      <c r="O114" s="17" t="s">
        <v>356</v>
      </c>
      <c r="P114" s="17" t="s">
        <v>356</v>
      </c>
      <c r="Q114" s="17" t="s">
        <v>356</v>
      </c>
      <c r="R114" s="17" t="s">
        <v>356</v>
      </c>
      <c r="S114" s="17" t="s">
        <v>356</v>
      </c>
      <c r="T114" s="17" t="s">
        <v>356</v>
      </c>
      <c r="U114" s="17"/>
      <c r="V114" s="17"/>
      <c r="W114" s="17"/>
      <c r="X114" s="17"/>
      <c r="Y114" s="17"/>
      <c r="Z114" s="9"/>
      <c r="AA114" s="17"/>
      <c r="AB114" s="17"/>
      <c r="AC114" s="17"/>
      <c r="AD114" s="17"/>
      <c r="AE114" s="17"/>
      <c r="AF114" s="79"/>
      <c r="AG114" s="79"/>
      <c r="AJ114" s="44"/>
    </row>
    <row r="115" spans="1:36" s="1" customFormat="1" hidden="1" outlineLevel="1" x14ac:dyDescent="0.25">
      <c r="A115" s="15" t="s">
        <v>268</v>
      </c>
      <c r="B115" s="16" t="s">
        <v>2</v>
      </c>
      <c r="C115" s="15" t="s">
        <v>4</v>
      </c>
      <c r="D115" s="33" t="s">
        <v>201</v>
      </c>
      <c r="E115" s="17" t="s">
        <v>380</v>
      </c>
      <c r="F115" s="17" t="s">
        <v>380</v>
      </c>
      <c r="G115" s="17" t="s">
        <v>380</v>
      </c>
      <c r="H115" s="17" t="s">
        <v>380</v>
      </c>
      <c r="I115" s="17" t="s">
        <v>380</v>
      </c>
      <c r="J115" s="17" t="s">
        <v>380</v>
      </c>
      <c r="K115" s="17" t="s">
        <v>380</v>
      </c>
      <c r="L115" s="17" t="s">
        <v>380</v>
      </c>
      <c r="M115" s="17" t="s">
        <v>380</v>
      </c>
      <c r="N115" s="17" t="s">
        <v>380</v>
      </c>
      <c r="O115" s="17" t="s">
        <v>380</v>
      </c>
      <c r="P115" s="17" t="s">
        <v>380</v>
      </c>
      <c r="Q115" s="17" t="s">
        <v>380</v>
      </c>
      <c r="R115" s="17" t="s">
        <v>380</v>
      </c>
      <c r="S115" s="17" t="s">
        <v>380</v>
      </c>
      <c r="T115" s="17" t="s">
        <v>380</v>
      </c>
      <c r="U115" s="17"/>
      <c r="V115" s="17"/>
      <c r="W115" s="17"/>
      <c r="X115" s="17"/>
      <c r="Y115" s="17"/>
      <c r="Z115" s="32"/>
      <c r="AA115" s="17"/>
      <c r="AB115" s="17"/>
      <c r="AC115" s="17"/>
      <c r="AD115" s="17"/>
      <c r="AE115" s="17"/>
      <c r="AF115" s="79"/>
      <c r="AG115" s="79"/>
      <c r="AJ115" s="44"/>
    </row>
    <row r="116" spans="1:36" s="1" customFormat="1" hidden="1" outlineLevel="1" x14ac:dyDescent="0.25">
      <c r="A116" s="15" t="s">
        <v>269</v>
      </c>
      <c r="B116" s="16" t="s">
        <v>54</v>
      </c>
      <c r="C116" s="15" t="s">
        <v>38</v>
      </c>
      <c r="D116" s="134" t="s">
        <v>201</v>
      </c>
      <c r="E116" s="31">
        <v>1.8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9">
        <v>0</v>
      </c>
      <c r="L116" s="31">
        <v>1.8</v>
      </c>
      <c r="M116" s="31">
        <v>1.8</v>
      </c>
      <c r="N116" s="31">
        <v>1.8</v>
      </c>
      <c r="O116" s="31">
        <v>1.8</v>
      </c>
      <c r="P116" s="31">
        <v>1.8</v>
      </c>
      <c r="Q116" s="31">
        <v>1.8</v>
      </c>
      <c r="R116" s="9">
        <v>1.8</v>
      </c>
      <c r="S116" s="31">
        <v>1.8</v>
      </c>
      <c r="T116" s="31">
        <v>1.8</v>
      </c>
      <c r="U116" s="31"/>
      <c r="V116" s="9"/>
      <c r="W116" s="9"/>
      <c r="X116" s="9"/>
      <c r="Y116" s="9"/>
      <c r="Z116" s="26"/>
      <c r="AA116" s="9"/>
      <c r="AB116" s="31"/>
      <c r="AC116" s="31"/>
      <c r="AD116" s="9"/>
      <c r="AE116" s="9"/>
      <c r="AF116" s="79"/>
      <c r="AG116" s="79"/>
      <c r="AJ116" s="44"/>
    </row>
    <row r="117" spans="1:36" s="1" customFormat="1" ht="15.75" hidden="1" customHeight="1" outlineLevel="1" collapsed="1" x14ac:dyDescent="0.25">
      <c r="A117" s="20" t="s">
        <v>202</v>
      </c>
      <c r="B117" s="89" t="s">
        <v>39</v>
      </c>
      <c r="C117" s="90" t="s">
        <v>4</v>
      </c>
      <c r="D117" s="91" t="s">
        <v>216</v>
      </c>
      <c r="E117" s="93" t="s">
        <v>389</v>
      </c>
      <c r="F117" s="13" t="s">
        <v>389</v>
      </c>
      <c r="G117" s="13" t="s">
        <v>389</v>
      </c>
      <c r="H117" s="13" t="s">
        <v>389</v>
      </c>
      <c r="I117" s="13" t="s">
        <v>389</v>
      </c>
      <c r="J117" s="13" t="s">
        <v>389</v>
      </c>
      <c r="K117" s="13" t="s">
        <v>389</v>
      </c>
      <c r="L117" s="13" t="s">
        <v>389</v>
      </c>
      <c r="M117" s="13" t="s">
        <v>389</v>
      </c>
      <c r="N117" s="13" t="s">
        <v>389</v>
      </c>
      <c r="O117" s="13" t="s">
        <v>389</v>
      </c>
      <c r="P117" s="13" t="s">
        <v>389</v>
      </c>
      <c r="Q117" s="13" t="s">
        <v>389</v>
      </c>
      <c r="R117" s="13" t="s">
        <v>389</v>
      </c>
      <c r="S117" s="13" t="s">
        <v>389</v>
      </c>
      <c r="T117" s="13" t="s">
        <v>389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79"/>
      <c r="AG117" s="79"/>
      <c r="AJ117" s="44"/>
    </row>
    <row r="118" spans="1:36" s="1" customFormat="1" ht="25.5" hidden="1" customHeight="1" outlineLevel="1" x14ac:dyDescent="0.25">
      <c r="A118" s="9" t="s">
        <v>203</v>
      </c>
      <c r="B118" s="16" t="s">
        <v>51</v>
      </c>
      <c r="C118" s="15" t="s">
        <v>38</v>
      </c>
      <c r="D118" s="33" t="s">
        <v>217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26"/>
      <c r="AA118" s="31"/>
      <c r="AB118" s="31"/>
      <c r="AC118" s="31"/>
      <c r="AD118" s="31"/>
      <c r="AE118" s="31"/>
      <c r="AF118" s="79"/>
      <c r="AG118" s="79"/>
      <c r="AJ118" s="44"/>
    </row>
    <row r="119" spans="1:36" s="1" customFormat="1" ht="41.25" hidden="1" customHeight="1" outlineLevel="1" x14ac:dyDescent="0.25">
      <c r="A119" s="19" t="s">
        <v>270</v>
      </c>
      <c r="B119" s="11" t="s">
        <v>52</v>
      </c>
      <c r="C119" s="15" t="s">
        <v>4</v>
      </c>
      <c r="D119" s="33" t="s">
        <v>218</v>
      </c>
      <c r="E119" s="9" t="s">
        <v>390</v>
      </c>
      <c r="F119" s="9" t="s">
        <v>390</v>
      </c>
      <c r="G119" s="9" t="s">
        <v>390</v>
      </c>
      <c r="H119" s="9" t="s">
        <v>390</v>
      </c>
      <c r="I119" s="9" t="s">
        <v>390</v>
      </c>
      <c r="J119" s="9" t="s">
        <v>390</v>
      </c>
      <c r="K119" s="9" t="s">
        <v>390</v>
      </c>
      <c r="L119" s="9" t="s">
        <v>390</v>
      </c>
      <c r="M119" s="9" t="s">
        <v>390</v>
      </c>
      <c r="N119" s="9" t="s">
        <v>390</v>
      </c>
      <c r="O119" s="9" t="s">
        <v>390</v>
      </c>
      <c r="P119" s="9" t="s">
        <v>390</v>
      </c>
      <c r="Q119" s="9" t="s">
        <v>390</v>
      </c>
      <c r="R119" s="9" t="s">
        <v>390</v>
      </c>
      <c r="S119" s="9" t="s">
        <v>390</v>
      </c>
      <c r="T119" s="9" t="s">
        <v>390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79"/>
      <c r="AG119" s="79"/>
      <c r="AJ119" s="44"/>
    </row>
    <row r="120" spans="1:36" s="1" customFormat="1" ht="25.5" hidden="1" customHeight="1" outlineLevel="1" x14ac:dyDescent="0.25">
      <c r="A120" s="15" t="s">
        <v>271</v>
      </c>
      <c r="B120" s="16" t="s">
        <v>53</v>
      </c>
      <c r="C120" s="15" t="s">
        <v>4</v>
      </c>
      <c r="D120" s="33" t="s">
        <v>201</v>
      </c>
      <c r="E120" s="9" t="s">
        <v>361</v>
      </c>
      <c r="F120" s="9" t="s">
        <v>361</v>
      </c>
      <c r="G120" s="9" t="s">
        <v>361</v>
      </c>
      <c r="H120" s="9" t="s">
        <v>361</v>
      </c>
      <c r="I120" s="9" t="s">
        <v>361</v>
      </c>
      <c r="J120" s="9" t="s">
        <v>361</v>
      </c>
      <c r="K120" s="9" t="s">
        <v>361</v>
      </c>
      <c r="L120" s="9" t="s">
        <v>361</v>
      </c>
      <c r="M120" s="9" t="s">
        <v>361</v>
      </c>
      <c r="N120" s="9" t="s">
        <v>361</v>
      </c>
      <c r="O120" s="9" t="s">
        <v>361</v>
      </c>
      <c r="P120" s="9" t="s">
        <v>361</v>
      </c>
      <c r="Q120" s="9" t="s">
        <v>361</v>
      </c>
      <c r="R120" s="9" t="s">
        <v>361</v>
      </c>
      <c r="S120" s="9" t="s">
        <v>361</v>
      </c>
      <c r="T120" s="9" t="s">
        <v>361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79"/>
      <c r="AG120" s="79"/>
      <c r="AJ120" s="44"/>
    </row>
    <row r="121" spans="1:36" s="1" customFormat="1" ht="15.75" hidden="1" customHeight="1" outlineLevel="1" x14ac:dyDescent="0.25">
      <c r="A121" s="15" t="s">
        <v>272</v>
      </c>
      <c r="B121" s="16" t="s">
        <v>2</v>
      </c>
      <c r="C121" s="15" t="s">
        <v>4</v>
      </c>
      <c r="D121" s="33" t="s">
        <v>201</v>
      </c>
      <c r="E121" s="17" t="s">
        <v>391</v>
      </c>
      <c r="F121" s="17" t="s">
        <v>391</v>
      </c>
      <c r="G121" s="17" t="s">
        <v>391</v>
      </c>
      <c r="H121" s="17" t="s">
        <v>391</v>
      </c>
      <c r="I121" s="17" t="s">
        <v>391</v>
      </c>
      <c r="J121" s="17" t="s">
        <v>391</v>
      </c>
      <c r="K121" s="17" t="s">
        <v>391</v>
      </c>
      <c r="L121" s="17" t="s">
        <v>391</v>
      </c>
      <c r="M121" s="17" t="s">
        <v>391</v>
      </c>
      <c r="N121" s="17" t="s">
        <v>391</v>
      </c>
      <c r="O121" s="17" t="s">
        <v>391</v>
      </c>
      <c r="P121" s="17" t="s">
        <v>391</v>
      </c>
      <c r="Q121" s="17" t="s">
        <v>391</v>
      </c>
      <c r="R121" s="17" t="s">
        <v>391</v>
      </c>
      <c r="S121" s="17" t="s">
        <v>391</v>
      </c>
      <c r="T121" s="17" t="s">
        <v>391</v>
      </c>
      <c r="U121" s="17"/>
      <c r="V121" s="17"/>
      <c r="W121" s="17"/>
      <c r="X121" s="17"/>
      <c r="Y121" s="17"/>
      <c r="Z121" s="32"/>
      <c r="AA121" s="17"/>
      <c r="AB121" s="17"/>
      <c r="AC121" s="17"/>
      <c r="AD121" s="17"/>
      <c r="AE121" s="17"/>
      <c r="AF121" s="79"/>
      <c r="AG121" s="79"/>
      <c r="AJ121" s="44"/>
    </row>
    <row r="122" spans="1:36" s="1" customFormat="1" ht="15.75" hidden="1" customHeight="1" outlineLevel="1" x14ac:dyDescent="0.25">
      <c r="A122" s="15" t="s">
        <v>273</v>
      </c>
      <c r="B122" s="16" t="s">
        <v>54</v>
      </c>
      <c r="C122" s="15" t="s">
        <v>38</v>
      </c>
      <c r="D122" s="33" t="s">
        <v>201</v>
      </c>
      <c r="E122" s="31">
        <v>407.24</v>
      </c>
      <c r="F122" s="31">
        <v>407.24</v>
      </c>
      <c r="G122" s="31">
        <v>407.24</v>
      </c>
      <c r="H122" s="31">
        <v>407.24</v>
      </c>
      <c r="I122" s="31">
        <v>407.24</v>
      </c>
      <c r="J122" s="31">
        <v>407.24</v>
      </c>
      <c r="K122" s="31">
        <v>407.24</v>
      </c>
      <c r="L122" s="31">
        <v>407.24</v>
      </c>
      <c r="M122" s="31">
        <v>407.24</v>
      </c>
      <c r="N122" s="31">
        <v>407.24</v>
      </c>
      <c r="O122" s="31">
        <v>407.24</v>
      </c>
      <c r="P122" s="31">
        <v>407.24</v>
      </c>
      <c r="Q122" s="31">
        <v>407.24</v>
      </c>
      <c r="R122" s="31">
        <v>407.24</v>
      </c>
      <c r="S122" s="31">
        <v>407.24</v>
      </c>
      <c r="T122" s="31">
        <v>407.24</v>
      </c>
      <c r="U122" s="31"/>
      <c r="V122" s="31"/>
      <c r="W122" s="31"/>
      <c r="X122" s="31"/>
      <c r="Y122" s="31"/>
      <c r="Z122" s="26"/>
      <c r="AA122" s="31"/>
      <c r="AB122" s="31"/>
      <c r="AC122" s="31"/>
      <c r="AD122" s="31"/>
      <c r="AE122" s="31"/>
      <c r="AF122" s="79"/>
      <c r="AG122" s="79"/>
      <c r="AJ122" s="44"/>
    </row>
    <row r="123" spans="1:36" s="1" customFormat="1" ht="15.75" hidden="1" customHeight="1" outlineLevel="1" x14ac:dyDescent="0.25">
      <c r="A123" s="20" t="s">
        <v>202</v>
      </c>
      <c r="B123" s="11" t="s">
        <v>39</v>
      </c>
      <c r="C123" s="15" t="s">
        <v>4</v>
      </c>
      <c r="D123" s="33" t="s">
        <v>216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79"/>
      <c r="AG123" s="79"/>
      <c r="AJ123" s="44"/>
    </row>
    <row r="124" spans="1:36" s="1" customFormat="1" ht="25.5" hidden="1" customHeight="1" outlineLevel="1" x14ac:dyDescent="0.25">
      <c r="A124" s="9" t="s">
        <v>203</v>
      </c>
      <c r="B124" s="16" t="s">
        <v>51</v>
      </c>
      <c r="C124" s="15" t="s">
        <v>38</v>
      </c>
      <c r="D124" s="33" t="s">
        <v>217</v>
      </c>
      <c r="E124" s="26">
        <f>E110+E104+E98+E92+E86+E80+E74+E68+E62+E50+E44+E38+E32+E116</f>
        <v>1.9804304154870547</v>
      </c>
      <c r="F124" s="26">
        <f t="shared" ref="F124:T124" si="27">F110+F104+F98+F92+F86+F80+F74+F68+F62+F50+F44+F38+F32+F116</f>
        <v>0.16747180926427646</v>
      </c>
      <c r="G124" s="26">
        <f t="shared" ref="G124:J124" si="28">G110+G104+G98+G92+G86+G80+G74+G68+G62+G50+G44+G38+G32+G116</f>
        <v>0.13106763137598867</v>
      </c>
      <c r="H124" s="26">
        <f t="shared" si="28"/>
        <v>5.4221072101588934E-2</v>
      </c>
      <c r="I124" s="26">
        <f t="shared" si="28"/>
        <v>9.1532113345023952E-2</v>
      </c>
      <c r="J124" s="26" t="e">
        <f t="shared" si="28"/>
        <v>#DIV/0!</v>
      </c>
      <c r="K124" s="26">
        <f t="shared" si="27"/>
        <v>0.15775392577313929</v>
      </c>
      <c r="L124" s="26">
        <f t="shared" si="27"/>
        <v>2.0478118752502041</v>
      </c>
      <c r="M124" s="26">
        <f t="shared" si="27"/>
        <v>1.8073579893665481</v>
      </c>
      <c r="N124" s="26">
        <f t="shared" si="27"/>
        <v>1.4052146989675092</v>
      </c>
      <c r="O124" s="26">
        <f t="shared" si="27"/>
        <v>1.4342251230758949</v>
      </c>
      <c r="P124" s="26">
        <f t="shared" si="27"/>
        <v>0.98950758297090857</v>
      </c>
      <c r="Q124" s="26">
        <f t="shared" si="27"/>
        <v>2.2579180023279788</v>
      </c>
      <c r="R124" s="26">
        <f t="shared" si="27"/>
        <v>2.0816913623438125</v>
      </c>
      <c r="S124" s="26">
        <f t="shared" si="27"/>
        <v>1.8469883732601002</v>
      </c>
      <c r="T124" s="26">
        <f t="shared" si="27"/>
        <v>1.8467240174279105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79"/>
      <c r="AG124" s="79"/>
      <c r="AJ124" s="44"/>
    </row>
    <row r="125" spans="1:36" s="1" customFormat="1" ht="41.25" hidden="1" customHeight="1" outlineLevel="1" x14ac:dyDescent="0.25">
      <c r="A125" s="19" t="s">
        <v>274</v>
      </c>
      <c r="B125" s="11" t="s">
        <v>52</v>
      </c>
      <c r="C125" s="15" t="s">
        <v>4</v>
      </c>
      <c r="D125" s="33" t="s">
        <v>218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79"/>
      <c r="AG125" s="79"/>
      <c r="AJ125" s="44"/>
    </row>
    <row r="126" spans="1:36" s="1" customFormat="1" ht="25.5" hidden="1" customHeight="1" outlineLevel="1" x14ac:dyDescent="0.25">
      <c r="A126" s="15" t="s">
        <v>275</v>
      </c>
      <c r="B126" s="16" t="s">
        <v>53</v>
      </c>
      <c r="C126" s="15" t="s">
        <v>4</v>
      </c>
      <c r="D126" s="33" t="s">
        <v>201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79"/>
      <c r="AG126" s="79"/>
      <c r="AJ126" s="44"/>
    </row>
    <row r="127" spans="1:36" s="1" customFormat="1" ht="15.75" hidden="1" customHeight="1" outlineLevel="1" x14ac:dyDescent="0.25">
      <c r="A127" s="15" t="s">
        <v>276</v>
      </c>
      <c r="B127" s="16" t="s">
        <v>2</v>
      </c>
      <c r="C127" s="15" t="s">
        <v>4</v>
      </c>
      <c r="D127" s="33" t="s">
        <v>201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79"/>
      <c r="AG127" s="79"/>
      <c r="AJ127" s="44"/>
    </row>
    <row r="128" spans="1:36" s="1" customFormat="1" ht="15.75" hidden="1" customHeight="1" outlineLevel="1" x14ac:dyDescent="0.25">
      <c r="A128" s="15" t="s">
        <v>277</v>
      </c>
      <c r="B128" s="16" t="s">
        <v>54</v>
      </c>
      <c r="C128" s="15" t="s">
        <v>38</v>
      </c>
      <c r="D128" s="33" t="s">
        <v>201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79"/>
      <c r="AG128" s="79"/>
      <c r="AJ128" s="44"/>
    </row>
    <row r="129" spans="1:36" s="1" customFormat="1" ht="15.75" hidden="1" customHeight="1" outlineLevel="1" x14ac:dyDescent="0.25">
      <c r="A129" s="20" t="s">
        <v>202</v>
      </c>
      <c r="B129" s="11" t="s">
        <v>39</v>
      </c>
      <c r="C129" s="15" t="s">
        <v>4</v>
      </c>
      <c r="D129" s="33" t="s">
        <v>216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79"/>
      <c r="AG129" s="79"/>
      <c r="AJ129" s="44"/>
    </row>
    <row r="130" spans="1:36" s="1" customFormat="1" ht="25.5" hidden="1" customHeight="1" outlineLevel="1" x14ac:dyDescent="0.25">
      <c r="A130" s="9" t="s">
        <v>203</v>
      </c>
      <c r="B130" s="16" t="s">
        <v>51</v>
      </c>
      <c r="C130" s="15" t="s">
        <v>38</v>
      </c>
      <c r="D130" s="33" t="s">
        <v>217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79"/>
      <c r="AG130" s="79"/>
      <c r="AJ130" s="44"/>
    </row>
    <row r="131" spans="1:36" s="1" customFormat="1" ht="41.25" hidden="1" customHeight="1" outlineLevel="1" x14ac:dyDescent="0.25">
      <c r="A131" s="19" t="s">
        <v>278</v>
      </c>
      <c r="B131" s="11" t="s">
        <v>52</v>
      </c>
      <c r="C131" s="15" t="s">
        <v>4</v>
      </c>
      <c r="D131" s="33" t="s">
        <v>218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79"/>
      <c r="AG131" s="79"/>
      <c r="AJ131" s="44"/>
    </row>
    <row r="132" spans="1:36" s="1" customFormat="1" ht="25.5" hidden="1" customHeight="1" outlineLevel="1" x14ac:dyDescent="0.25">
      <c r="A132" s="15" t="s">
        <v>279</v>
      </c>
      <c r="B132" s="16" t="s">
        <v>53</v>
      </c>
      <c r="C132" s="15" t="s">
        <v>4</v>
      </c>
      <c r="D132" s="33" t="s">
        <v>201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79"/>
      <c r="AG132" s="79"/>
      <c r="AJ132" s="44"/>
    </row>
    <row r="133" spans="1:36" s="1" customFormat="1" ht="15.75" hidden="1" customHeight="1" outlineLevel="1" x14ac:dyDescent="0.25">
      <c r="A133" s="15" t="s">
        <v>280</v>
      </c>
      <c r="B133" s="16" t="s">
        <v>2</v>
      </c>
      <c r="C133" s="15" t="s">
        <v>4</v>
      </c>
      <c r="D133" s="33" t="s">
        <v>201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79"/>
      <c r="AG133" s="79"/>
      <c r="AJ133" s="44"/>
    </row>
    <row r="134" spans="1:36" s="1" customFormat="1" hidden="1" outlineLevel="1" x14ac:dyDescent="0.25">
      <c r="A134" s="15" t="s">
        <v>281</v>
      </c>
      <c r="B134" s="16" t="s">
        <v>54</v>
      </c>
      <c r="C134" s="15" t="s">
        <v>38</v>
      </c>
      <c r="D134" s="33" t="s">
        <v>201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79"/>
      <c r="AG134" s="79"/>
    </row>
    <row r="135" spans="1:36" s="1" customFormat="1" hidden="1" outlineLevel="1" x14ac:dyDescent="0.25">
      <c r="A135" s="20" t="s">
        <v>202</v>
      </c>
      <c r="B135" s="11" t="s">
        <v>39</v>
      </c>
      <c r="C135" s="15" t="s">
        <v>4</v>
      </c>
      <c r="D135" s="33" t="s">
        <v>216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79"/>
      <c r="AG135" s="79"/>
    </row>
    <row r="136" spans="1:36" s="1" customFormat="1" ht="25.5" hidden="1" outlineLevel="1" x14ac:dyDescent="0.25">
      <c r="A136" s="9" t="s">
        <v>203</v>
      </c>
      <c r="B136" s="16" t="s">
        <v>51</v>
      </c>
      <c r="C136" s="15" t="s">
        <v>38</v>
      </c>
      <c r="D136" s="33" t="s">
        <v>217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79"/>
      <c r="AG136" s="79"/>
    </row>
    <row r="137" spans="1:36" s="1" customFormat="1" ht="41.25" hidden="1" customHeight="1" outlineLevel="1" x14ac:dyDescent="0.25">
      <c r="A137" s="19" t="s">
        <v>282</v>
      </c>
      <c r="B137" s="11" t="s">
        <v>52</v>
      </c>
      <c r="C137" s="15" t="s">
        <v>4</v>
      </c>
      <c r="D137" s="33" t="s">
        <v>218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79"/>
      <c r="AG137" s="79"/>
    </row>
    <row r="138" spans="1:36" s="1" customFormat="1" ht="25.5" hidden="1" outlineLevel="1" x14ac:dyDescent="0.25">
      <c r="A138" s="15" t="s">
        <v>283</v>
      </c>
      <c r="B138" s="16" t="s">
        <v>53</v>
      </c>
      <c r="C138" s="15" t="s">
        <v>4</v>
      </c>
      <c r="D138" s="33" t="s">
        <v>201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79"/>
      <c r="AG138" s="79"/>
    </row>
    <row r="139" spans="1:36" s="1" customFormat="1" hidden="1" outlineLevel="1" x14ac:dyDescent="0.25">
      <c r="A139" s="15" t="s">
        <v>284</v>
      </c>
      <c r="B139" s="16" t="s">
        <v>2</v>
      </c>
      <c r="C139" s="15" t="s">
        <v>4</v>
      </c>
      <c r="D139" s="33" t="s">
        <v>201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79"/>
      <c r="AG139" s="79"/>
    </row>
    <row r="140" spans="1:36" s="1" customFormat="1" hidden="1" outlineLevel="1" x14ac:dyDescent="0.25">
      <c r="A140" s="15" t="s">
        <v>285</v>
      </c>
      <c r="B140" s="16" t="s">
        <v>54</v>
      </c>
      <c r="C140" s="15" t="s">
        <v>38</v>
      </c>
      <c r="D140" s="33" t="s">
        <v>201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79"/>
      <c r="AG140" s="79"/>
    </row>
    <row r="141" spans="1:36" s="1" customFormat="1" hidden="1" outlineLevel="1" x14ac:dyDescent="0.25">
      <c r="A141" s="20" t="s">
        <v>202</v>
      </c>
      <c r="B141" s="11" t="s">
        <v>39</v>
      </c>
      <c r="C141" s="15" t="s">
        <v>4</v>
      </c>
      <c r="D141" s="33" t="s">
        <v>216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79"/>
      <c r="AG141" s="79"/>
    </row>
    <row r="142" spans="1:36" s="1" customFormat="1" ht="25.5" hidden="1" outlineLevel="1" x14ac:dyDescent="0.25">
      <c r="A142" s="9" t="s">
        <v>203</v>
      </c>
      <c r="B142" s="16" t="s">
        <v>51</v>
      </c>
      <c r="C142" s="15" t="s">
        <v>38</v>
      </c>
      <c r="D142" s="33" t="s">
        <v>217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79"/>
      <c r="AG142" s="79"/>
    </row>
    <row r="143" spans="1:36" s="1" customFormat="1" ht="41.25" hidden="1" customHeight="1" outlineLevel="1" x14ac:dyDescent="0.25">
      <c r="A143" s="19" t="s">
        <v>286</v>
      </c>
      <c r="B143" s="11" t="s">
        <v>52</v>
      </c>
      <c r="C143" s="15" t="s">
        <v>4</v>
      </c>
      <c r="D143" s="33" t="s">
        <v>218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79"/>
      <c r="AG143" s="79"/>
    </row>
    <row r="144" spans="1:36" s="1" customFormat="1" ht="25.5" hidden="1" outlineLevel="1" x14ac:dyDescent="0.25">
      <c r="A144" s="15" t="s">
        <v>287</v>
      </c>
      <c r="B144" s="16" t="s">
        <v>53</v>
      </c>
      <c r="C144" s="15" t="s">
        <v>4</v>
      </c>
      <c r="D144" s="33" t="s">
        <v>201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79"/>
      <c r="AG144" s="79"/>
    </row>
    <row r="145" spans="1:33" s="1" customFormat="1" hidden="1" outlineLevel="1" x14ac:dyDescent="0.25">
      <c r="A145" s="15" t="s">
        <v>288</v>
      </c>
      <c r="B145" s="16" t="s">
        <v>2</v>
      </c>
      <c r="C145" s="15" t="s">
        <v>4</v>
      </c>
      <c r="D145" s="33" t="s">
        <v>201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79"/>
      <c r="AG145" s="79"/>
    </row>
    <row r="146" spans="1:33" s="1" customFormat="1" hidden="1" outlineLevel="1" x14ac:dyDescent="0.25">
      <c r="A146" s="15" t="s">
        <v>289</v>
      </c>
      <c r="B146" s="16" t="s">
        <v>54</v>
      </c>
      <c r="C146" s="15" t="s">
        <v>38</v>
      </c>
      <c r="D146" s="33" t="s">
        <v>201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79"/>
      <c r="AG146" s="79"/>
    </row>
    <row r="147" spans="1:33" s="1" customFormat="1" ht="39" customHeight="1" collapsed="1" x14ac:dyDescent="0.25">
      <c r="A147" s="213" t="s">
        <v>55</v>
      </c>
      <c r="B147" s="213"/>
      <c r="C147" s="213"/>
      <c r="D147" s="33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79"/>
      <c r="AG147" s="79"/>
    </row>
    <row r="148" spans="1:33" s="1" customFormat="1" ht="51" x14ac:dyDescent="0.25">
      <c r="A148" s="9" t="s">
        <v>24</v>
      </c>
      <c r="B148" s="43" t="s">
        <v>56</v>
      </c>
      <c r="C148" s="15" t="s">
        <v>29</v>
      </c>
      <c r="D148" s="33" t="s">
        <v>169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79"/>
      <c r="AG148" s="79"/>
    </row>
    <row r="149" spans="1:33" s="1" customFormat="1" ht="38.25" x14ac:dyDescent="0.25">
      <c r="A149" s="9" t="s">
        <v>25</v>
      </c>
      <c r="B149" s="43" t="s">
        <v>57</v>
      </c>
      <c r="C149" s="15" t="s">
        <v>29</v>
      </c>
      <c r="D149" s="33" t="s">
        <v>170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79"/>
      <c r="AG149" s="79"/>
    </row>
    <row r="150" spans="1:33" s="1" customFormat="1" ht="51" x14ac:dyDescent="0.25">
      <c r="A150" s="9" t="s">
        <v>26</v>
      </c>
      <c r="B150" s="43" t="s">
        <v>58</v>
      </c>
      <c r="C150" s="15" t="s">
        <v>29</v>
      </c>
      <c r="D150" s="33" t="s">
        <v>171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79"/>
      <c r="AG150" s="79"/>
    </row>
    <row r="151" spans="1:33" s="1" customFormat="1" ht="51" x14ac:dyDescent="0.25">
      <c r="A151" s="9" t="s">
        <v>27</v>
      </c>
      <c r="B151" s="43" t="s">
        <v>59</v>
      </c>
      <c r="C151" s="15" t="s">
        <v>38</v>
      </c>
      <c r="D151" s="33" t="s">
        <v>172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79"/>
      <c r="AG151" s="79"/>
    </row>
    <row r="152" spans="1:33" ht="45.75" customHeight="1" x14ac:dyDescent="0.25">
      <c r="A152" s="213" t="s">
        <v>60</v>
      </c>
      <c r="B152" s="213"/>
      <c r="C152" s="213"/>
      <c r="D152" s="3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3" ht="63.75" x14ac:dyDescent="0.25">
      <c r="A153" s="9" t="s">
        <v>28</v>
      </c>
      <c r="B153" s="10" t="s">
        <v>42</v>
      </c>
      <c r="C153" s="15" t="s">
        <v>38</v>
      </c>
      <c r="D153" s="33" t="s">
        <v>173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3" ht="51" x14ac:dyDescent="0.25">
      <c r="A154" s="9" t="s">
        <v>30</v>
      </c>
      <c r="B154" s="10" t="s">
        <v>43</v>
      </c>
      <c r="C154" s="15" t="s">
        <v>38</v>
      </c>
      <c r="D154" s="33" t="s">
        <v>174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3" ht="51" x14ac:dyDescent="0.25">
      <c r="A155" s="9" t="s">
        <v>31</v>
      </c>
      <c r="B155" s="10" t="s">
        <v>44</v>
      </c>
      <c r="C155" s="15" t="s">
        <v>38</v>
      </c>
      <c r="D155" s="134" t="s">
        <v>175</v>
      </c>
      <c r="E155" s="136">
        <f t="shared" ref="E155:T155" si="29">E163+E174+E185+E196+E207+E218</f>
        <v>376563.34</v>
      </c>
      <c r="F155" s="31">
        <f t="shared" si="29"/>
        <v>329356.58000000007</v>
      </c>
      <c r="G155" s="31">
        <f t="shared" ref="G155:J155" si="30">G163+G174+G185+G196+G207+G218</f>
        <v>0</v>
      </c>
      <c r="H155" s="31">
        <f t="shared" si="30"/>
        <v>0</v>
      </c>
      <c r="I155" s="31">
        <f t="shared" si="30"/>
        <v>0</v>
      </c>
      <c r="J155" s="31">
        <f t="shared" si="30"/>
        <v>0</v>
      </c>
      <c r="K155" s="31">
        <f t="shared" si="29"/>
        <v>239689.63</v>
      </c>
      <c r="L155" s="31">
        <f t="shared" si="29"/>
        <v>248699.78</v>
      </c>
      <c r="M155" s="31">
        <f t="shared" si="29"/>
        <v>45204.54</v>
      </c>
      <c r="N155" s="31">
        <f t="shared" si="29"/>
        <v>4961.9799999999996</v>
      </c>
      <c r="O155" s="31">
        <f t="shared" si="29"/>
        <v>7816.04</v>
      </c>
      <c r="P155" s="31">
        <f t="shared" si="29"/>
        <v>9340.67</v>
      </c>
      <c r="Q155" s="31">
        <f t="shared" si="29"/>
        <v>34280.35</v>
      </c>
      <c r="R155" s="31">
        <f t="shared" si="29"/>
        <v>30061.61</v>
      </c>
      <c r="S155" s="31">
        <f t="shared" si="29"/>
        <v>26940.859999999997</v>
      </c>
      <c r="T155" s="31">
        <f t="shared" si="29"/>
        <v>25963.55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3" ht="51" x14ac:dyDescent="0.25">
      <c r="A156" s="9" t="s">
        <v>32</v>
      </c>
      <c r="B156" s="10" t="s">
        <v>48</v>
      </c>
      <c r="C156" s="15" t="s">
        <v>38</v>
      </c>
      <c r="D156" s="33" t="s">
        <v>176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3" ht="51" x14ac:dyDescent="0.25">
      <c r="A157" s="9" t="s">
        <v>33</v>
      </c>
      <c r="B157" s="10" t="s">
        <v>49</v>
      </c>
      <c r="C157" s="15" t="s">
        <v>38</v>
      </c>
      <c r="D157" s="33" t="s">
        <v>177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3" ht="48" customHeight="1" x14ac:dyDescent="0.25">
      <c r="A158" s="9" t="s">
        <v>34</v>
      </c>
      <c r="B158" s="10" t="s">
        <v>50</v>
      </c>
      <c r="C158" s="15" t="s">
        <v>38</v>
      </c>
      <c r="D158" s="134" t="s">
        <v>178</v>
      </c>
      <c r="E158" s="31">
        <f t="shared" ref="E158:T158" si="31">E166+E177+E188+E199+E210+E221</f>
        <v>628096.96000000008</v>
      </c>
      <c r="F158" s="31">
        <f t="shared" si="31"/>
        <v>716672.10000000009</v>
      </c>
      <c r="G158" s="31">
        <f t="shared" ref="G158:J158" si="32">G166+G177+G188+G199+G210+G221</f>
        <v>23157.07</v>
      </c>
      <c r="H158" s="31">
        <f t="shared" si="32"/>
        <v>7549.8499999999995</v>
      </c>
      <c r="I158" s="31">
        <f t="shared" si="32"/>
        <v>4350.79</v>
      </c>
      <c r="J158" s="31">
        <f t="shared" si="32"/>
        <v>0</v>
      </c>
      <c r="K158" s="31">
        <f t="shared" si="31"/>
        <v>592239.92999999993</v>
      </c>
      <c r="L158" s="31">
        <f t="shared" si="31"/>
        <v>573436.74</v>
      </c>
      <c r="M158" s="31">
        <f t="shared" si="31"/>
        <v>50350.479999999996</v>
      </c>
      <c r="N158" s="31">
        <f t="shared" si="31"/>
        <v>1254.26</v>
      </c>
      <c r="O158" s="31">
        <f t="shared" si="31"/>
        <v>851.17000000000007</v>
      </c>
      <c r="P158" s="31">
        <f t="shared" si="31"/>
        <v>4243.5199999999995</v>
      </c>
      <c r="Q158" s="31">
        <f t="shared" si="31"/>
        <v>48513.19</v>
      </c>
      <c r="R158" s="31">
        <f t="shared" si="31"/>
        <v>48780.729999999996</v>
      </c>
      <c r="S158" s="31">
        <f t="shared" si="31"/>
        <v>34305.969999999994</v>
      </c>
      <c r="T158" s="31">
        <f t="shared" si="31"/>
        <v>65441.099999999991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3" ht="42.75" customHeight="1" x14ac:dyDescent="0.25">
      <c r="A159" s="213" t="s">
        <v>138</v>
      </c>
      <c r="B159" s="213"/>
      <c r="C159" s="213"/>
      <c r="D159" s="3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3" x14ac:dyDescent="0.25">
      <c r="A160" s="13" t="s">
        <v>73</v>
      </c>
      <c r="B160" s="11" t="s">
        <v>40</v>
      </c>
      <c r="C160" s="15" t="s">
        <v>4</v>
      </c>
      <c r="D160" s="33" t="s">
        <v>179</v>
      </c>
      <c r="E160" s="13" t="s">
        <v>74</v>
      </c>
      <c r="F160" s="13" t="s">
        <v>74</v>
      </c>
      <c r="G160" s="13" t="s">
        <v>74</v>
      </c>
      <c r="H160" s="13" t="s">
        <v>74</v>
      </c>
      <c r="I160" s="13" t="s">
        <v>74</v>
      </c>
      <c r="J160" s="13" t="s">
        <v>74</v>
      </c>
      <c r="K160" s="13" t="s">
        <v>74</v>
      </c>
      <c r="L160" s="13" t="s">
        <v>74</v>
      </c>
      <c r="M160" s="13" t="s">
        <v>74</v>
      </c>
      <c r="N160" s="13" t="s">
        <v>74</v>
      </c>
      <c r="O160" s="13" t="s">
        <v>74</v>
      </c>
      <c r="P160" s="13" t="s">
        <v>74</v>
      </c>
      <c r="Q160" s="13" t="s">
        <v>74</v>
      </c>
      <c r="R160" s="13" t="s">
        <v>74</v>
      </c>
      <c r="S160" s="13" t="s">
        <v>74</v>
      </c>
      <c r="T160" s="13" t="s">
        <v>74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3" ht="25.5" x14ac:dyDescent="0.25">
      <c r="A161" s="9" t="s">
        <v>75</v>
      </c>
      <c r="B161" s="10" t="s">
        <v>2</v>
      </c>
      <c r="C161" s="15" t="s">
        <v>4</v>
      </c>
      <c r="D161" s="33" t="s">
        <v>180</v>
      </c>
      <c r="E161" s="9" t="s">
        <v>225</v>
      </c>
      <c r="F161" s="9" t="s">
        <v>225</v>
      </c>
      <c r="G161" s="9" t="s">
        <v>225</v>
      </c>
      <c r="H161" s="9" t="s">
        <v>225</v>
      </c>
      <c r="I161" s="9" t="s">
        <v>225</v>
      </c>
      <c r="J161" s="9" t="s">
        <v>225</v>
      </c>
      <c r="K161" s="9" t="s">
        <v>225</v>
      </c>
      <c r="L161" s="9" t="s">
        <v>225</v>
      </c>
      <c r="M161" s="9" t="s">
        <v>225</v>
      </c>
      <c r="N161" s="9" t="s">
        <v>225</v>
      </c>
      <c r="O161" s="9" t="s">
        <v>225</v>
      </c>
      <c r="P161" s="9" t="s">
        <v>225</v>
      </c>
      <c r="Q161" s="9" t="s">
        <v>225</v>
      </c>
      <c r="R161" s="9" t="s">
        <v>225</v>
      </c>
      <c r="S161" s="9" t="s">
        <v>225</v>
      </c>
      <c r="T161" s="9" t="s">
        <v>225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3" s="164" customFormat="1" ht="38.25" x14ac:dyDescent="0.25">
      <c r="A162" s="158" t="s">
        <v>76</v>
      </c>
      <c r="B162" s="165" t="s">
        <v>61</v>
      </c>
      <c r="C162" s="160" t="s">
        <v>224</v>
      </c>
      <c r="D162" s="161" t="s">
        <v>181</v>
      </c>
      <c r="E162" s="166">
        <v>83082</v>
      </c>
      <c r="F162" s="166">
        <v>31801</v>
      </c>
      <c r="G162" s="166">
        <v>0</v>
      </c>
      <c r="H162" s="166">
        <v>0</v>
      </c>
      <c r="I162" s="166">
        <v>0</v>
      </c>
      <c r="J162" s="166">
        <v>0</v>
      </c>
      <c r="K162" s="166">
        <v>6744</v>
      </c>
      <c r="L162" s="166">
        <v>11015</v>
      </c>
      <c r="M162" s="166">
        <v>0</v>
      </c>
      <c r="N162" s="166">
        <v>0</v>
      </c>
      <c r="O162" s="166">
        <v>0</v>
      </c>
      <c r="P162" s="166">
        <v>0</v>
      </c>
      <c r="Q162" s="166">
        <v>0</v>
      </c>
      <c r="R162" s="166">
        <v>0</v>
      </c>
      <c r="S162" s="166">
        <v>0</v>
      </c>
      <c r="T162" s="166">
        <v>0</v>
      </c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3"/>
      <c r="AG162" s="163"/>
    </row>
    <row r="163" spans="1:33" ht="25.5" x14ac:dyDescent="0.25">
      <c r="A163" s="9"/>
      <c r="B163" s="75" t="s">
        <v>44</v>
      </c>
      <c r="C163" s="15"/>
      <c r="D163" s="33"/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3" ht="38.25" x14ac:dyDescent="0.25">
      <c r="A164" s="9" t="s">
        <v>77</v>
      </c>
      <c r="B164" s="137" t="s">
        <v>62</v>
      </c>
      <c r="C164" s="15" t="s">
        <v>38</v>
      </c>
      <c r="D164" s="33" t="s">
        <v>182</v>
      </c>
      <c r="E164" s="72">
        <f>62038.02+10688.88*6</f>
        <v>126171.29999999999</v>
      </c>
      <c r="F164" s="72">
        <f>64402.86+11075.51+10996.39+11075.51+11075.5*3</f>
        <v>130776.76999999999</v>
      </c>
      <c r="G164" s="72">
        <f>1337.31+3006.99+1337.31*4</f>
        <v>9693.5399999999991</v>
      </c>
      <c r="H164" s="72">
        <f>858.95+1933.17+858.95*2+859*2</f>
        <v>6228.02</v>
      </c>
      <c r="I164" s="72">
        <f>1008.33+2267.23+1008.33+1008.32+1008.33+1008.33</f>
        <v>7308.87</v>
      </c>
      <c r="J164" s="72">
        <v>0</v>
      </c>
      <c r="K164" s="72">
        <f>10749+1851.49+1836.09+1851.5*4</f>
        <v>21842.58</v>
      </c>
      <c r="L164" s="72">
        <f>10759.14+1853.23+1750.52+1821.23+1836.97*3</f>
        <v>21695.03</v>
      </c>
      <c r="M164" s="72">
        <f>1795.92+309.32*6</f>
        <v>3651.84</v>
      </c>
      <c r="N164" s="72">
        <v>0</v>
      </c>
      <c r="O164" s="72">
        <v>0</v>
      </c>
      <c r="P164" s="72">
        <v>0</v>
      </c>
      <c r="Q164" s="72">
        <f>1256.28+216.38*6</f>
        <v>2554.56</v>
      </c>
      <c r="R164" s="72">
        <f>1248.36+215.03*6</f>
        <v>2538.54</v>
      </c>
      <c r="S164" s="72">
        <f>1299.66+223.83*2+223.72+223.83*3</f>
        <v>2642.53</v>
      </c>
      <c r="T164" s="72">
        <f>1039.68+179.08*6</f>
        <v>2114.16</v>
      </c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3" ht="38.25" x14ac:dyDescent="0.25">
      <c r="A165" s="9" t="s">
        <v>78</v>
      </c>
      <c r="B165" s="37" t="s">
        <v>63</v>
      </c>
      <c r="C165" s="15" t="s">
        <v>38</v>
      </c>
      <c r="D165" s="33" t="s">
        <v>183</v>
      </c>
      <c r="E165" s="30">
        <f t="shared" ref="E165:T165" si="33">E163+E164-E166</f>
        <v>108455.46999999999</v>
      </c>
      <c r="F165" s="30">
        <f t="shared" si="33"/>
        <v>109441.78</v>
      </c>
      <c r="G165" s="30">
        <f t="shared" ref="G165:J165" si="34">G163+G164-G166</f>
        <v>3325.6999999999989</v>
      </c>
      <c r="H165" s="30">
        <f t="shared" si="34"/>
        <v>3024.7100000000005</v>
      </c>
      <c r="I165" s="30">
        <f t="shared" si="34"/>
        <v>5081.21</v>
      </c>
      <c r="J165" s="30">
        <f t="shared" si="34"/>
        <v>0</v>
      </c>
      <c r="K165" s="30">
        <f t="shared" si="33"/>
        <v>17516.160000000003</v>
      </c>
      <c r="L165" s="30">
        <f t="shared" si="33"/>
        <v>18344.399999999998</v>
      </c>
      <c r="M165" s="30">
        <f t="shared" si="33"/>
        <v>3311.9500000000003</v>
      </c>
      <c r="N165" s="30">
        <f t="shared" si="33"/>
        <v>0</v>
      </c>
      <c r="O165" s="30">
        <f t="shared" si="33"/>
        <v>0</v>
      </c>
      <c r="P165" s="30">
        <f t="shared" si="33"/>
        <v>0</v>
      </c>
      <c r="Q165" s="30">
        <f t="shared" si="33"/>
        <v>2222.59</v>
      </c>
      <c r="R165" s="30">
        <f t="shared" si="33"/>
        <v>2225.5500000000002</v>
      </c>
      <c r="S165" s="30">
        <f t="shared" si="33"/>
        <v>2350.3000000000002</v>
      </c>
      <c r="T165" s="30">
        <f t="shared" si="33"/>
        <v>1703.11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3" ht="38.25" x14ac:dyDescent="0.25">
      <c r="A166" s="9" t="s">
        <v>79</v>
      </c>
      <c r="B166" s="37" t="s">
        <v>64</v>
      </c>
      <c r="C166" s="15" t="s">
        <v>38</v>
      </c>
      <c r="D166" s="33" t="s">
        <v>184</v>
      </c>
      <c r="E166" s="72">
        <f>17829.34-113.51</f>
        <v>17715.830000000002</v>
      </c>
      <c r="F166" s="72">
        <f>21437.26-102.27</f>
        <v>21334.989999999998</v>
      </c>
      <c r="G166" s="72">
        <v>6367.84</v>
      </c>
      <c r="H166" s="72">
        <f>3203.91-0.6</f>
        <v>3203.31</v>
      </c>
      <c r="I166" s="72">
        <f>2227.93-0.27</f>
        <v>2227.66</v>
      </c>
      <c r="J166" s="72">
        <v>0</v>
      </c>
      <c r="K166" s="72">
        <f>4337.97-11.55</f>
        <v>4326.42</v>
      </c>
      <c r="L166" s="72">
        <f>3536.77-186.14</f>
        <v>3350.63</v>
      </c>
      <c r="M166" s="72">
        <f>339.9-0.01</f>
        <v>339.89</v>
      </c>
      <c r="N166" s="72">
        <v>0</v>
      </c>
      <c r="O166" s="72">
        <v>0</v>
      </c>
      <c r="P166" s="72">
        <v>0</v>
      </c>
      <c r="Q166" s="72">
        <v>331.97</v>
      </c>
      <c r="R166" s="72">
        <v>312.99</v>
      </c>
      <c r="S166" s="72">
        <v>292.23</v>
      </c>
      <c r="T166" s="72">
        <f>411.06-0.01</f>
        <v>411.05</v>
      </c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3" s="164" customFormat="1" ht="51" x14ac:dyDescent="0.25">
      <c r="A167" s="158" t="s">
        <v>80</v>
      </c>
      <c r="B167" s="159" t="s">
        <v>65</v>
      </c>
      <c r="C167" s="160" t="s">
        <v>38</v>
      </c>
      <c r="D167" s="161" t="s">
        <v>185</v>
      </c>
      <c r="E167" s="162">
        <v>318723.90000000002</v>
      </c>
      <c r="F167" s="162">
        <v>121998.89</v>
      </c>
      <c r="G167" s="162">
        <v>0</v>
      </c>
      <c r="H167" s="162">
        <v>0</v>
      </c>
      <c r="I167" s="162">
        <v>0</v>
      </c>
      <c r="J167" s="162">
        <v>0</v>
      </c>
      <c r="K167" s="162">
        <v>36723.9</v>
      </c>
      <c r="L167" s="162">
        <v>60335.839999999997</v>
      </c>
      <c r="M167" s="162">
        <v>0</v>
      </c>
      <c r="N167" s="162">
        <v>0</v>
      </c>
      <c r="O167" s="162">
        <v>0</v>
      </c>
      <c r="P167" s="162">
        <v>0</v>
      </c>
      <c r="Q167" s="162">
        <v>0</v>
      </c>
      <c r="R167" s="162">
        <v>0</v>
      </c>
      <c r="S167" s="162">
        <v>0</v>
      </c>
      <c r="T167" s="162">
        <v>0</v>
      </c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3"/>
      <c r="AG167" s="163"/>
    </row>
    <row r="168" spans="1:33" s="168" customFormat="1" ht="51" x14ac:dyDescent="0.25">
      <c r="A168" s="158" t="s">
        <v>81</v>
      </c>
      <c r="B168" s="159" t="s">
        <v>66</v>
      </c>
      <c r="C168" s="160" t="s">
        <v>38</v>
      </c>
      <c r="D168" s="161" t="s">
        <v>186</v>
      </c>
      <c r="E168" s="162">
        <v>310836.64</v>
      </c>
      <c r="F168" s="162">
        <v>130916.43</v>
      </c>
      <c r="G168" s="162">
        <v>0</v>
      </c>
      <c r="H168" s="162">
        <v>0</v>
      </c>
      <c r="I168" s="162">
        <v>0</v>
      </c>
      <c r="J168" s="162">
        <v>0</v>
      </c>
      <c r="K168" s="162">
        <v>52564.82</v>
      </c>
      <c r="L168" s="162">
        <v>71199.67</v>
      </c>
      <c r="M168" s="162">
        <v>0</v>
      </c>
      <c r="N168" s="162">
        <v>0</v>
      </c>
      <c r="O168" s="162">
        <v>0</v>
      </c>
      <c r="P168" s="162">
        <v>0</v>
      </c>
      <c r="Q168" s="162">
        <v>0</v>
      </c>
      <c r="R168" s="162">
        <v>0</v>
      </c>
      <c r="S168" s="162">
        <v>0</v>
      </c>
      <c r="T168" s="162">
        <v>0</v>
      </c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7"/>
      <c r="AG168" s="167"/>
    </row>
    <row r="169" spans="1:33" s="164" customFormat="1" ht="63.75" x14ac:dyDescent="0.25">
      <c r="A169" s="158" t="s">
        <v>82</v>
      </c>
      <c r="B169" s="159" t="s">
        <v>67</v>
      </c>
      <c r="C169" s="160" t="s">
        <v>38</v>
      </c>
      <c r="D169" s="161" t="s">
        <v>187</v>
      </c>
      <c r="E169" s="162">
        <v>2527.4299999999998</v>
      </c>
      <c r="F169" s="162">
        <v>1064.49</v>
      </c>
      <c r="G169" s="162">
        <v>0</v>
      </c>
      <c r="H169" s="162">
        <v>0</v>
      </c>
      <c r="I169" s="162">
        <v>0</v>
      </c>
      <c r="J169" s="162">
        <v>0</v>
      </c>
      <c r="K169" s="162">
        <v>427.41</v>
      </c>
      <c r="L169" s="162">
        <v>578.92999999999995</v>
      </c>
      <c r="M169" s="162">
        <v>0</v>
      </c>
      <c r="N169" s="162">
        <v>0</v>
      </c>
      <c r="O169" s="162">
        <v>0</v>
      </c>
      <c r="P169" s="162">
        <v>0</v>
      </c>
      <c r="Q169" s="162">
        <v>0</v>
      </c>
      <c r="R169" s="162">
        <v>0</v>
      </c>
      <c r="S169" s="162">
        <v>0</v>
      </c>
      <c r="T169" s="162">
        <v>0</v>
      </c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3"/>
      <c r="AG169" s="163"/>
    </row>
    <row r="170" spans="1:33" s="1" customFormat="1" ht="51" x14ac:dyDescent="0.25">
      <c r="A170" s="9" t="s">
        <v>83</v>
      </c>
      <c r="B170" s="41" t="s">
        <v>68</v>
      </c>
      <c r="C170" s="15" t="s">
        <v>38</v>
      </c>
      <c r="D170" s="33" t="s">
        <v>188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79"/>
      <c r="AG170" s="79"/>
    </row>
    <row r="171" spans="1:33" s="1" customFormat="1" x14ac:dyDescent="0.25">
      <c r="A171" s="13" t="s">
        <v>84</v>
      </c>
      <c r="B171" s="11" t="s">
        <v>40</v>
      </c>
      <c r="C171" s="15" t="s">
        <v>4</v>
      </c>
      <c r="D171" s="33" t="s">
        <v>179</v>
      </c>
      <c r="E171" s="13" t="s">
        <v>85</v>
      </c>
      <c r="F171" s="13" t="s">
        <v>85</v>
      </c>
      <c r="G171" s="13" t="s">
        <v>85</v>
      </c>
      <c r="H171" s="13" t="s">
        <v>85</v>
      </c>
      <c r="I171" s="13" t="s">
        <v>85</v>
      </c>
      <c r="J171" s="13" t="s">
        <v>85</v>
      </c>
      <c r="K171" s="13" t="s">
        <v>85</v>
      </c>
      <c r="L171" s="13" t="s">
        <v>85</v>
      </c>
      <c r="M171" s="13" t="s">
        <v>85</v>
      </c>
      <c r="N171" s="13" t="s">
        <v>85</v>
      </c>
      <c r="O171" s="13" t="s">
        <v>85</v>
      </c>
      <c r="P171" s="13" t="s">
        <v>85</v>
      </c>
      <c r="Q171" s="13" t="s">
        <v>85</v>
      </c>
      <c r="R171" s="13" t="s">
        <v>85</v>
      </c>
      <c r="S171" s="13" t="s">
        <v>85</v>
      </c>
      <c r="T171" s="13" t="s">
        <v>85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79"/>
      <c r="AG171" s="79"/>
    </row>
    <row r="172" spans="1:33" s="1" customFormat="1" ht="25.5" x14ac:dyDescent="0.25">
      <c r="A172" s="9" t="s">
        <v>86</v>
      </c>
      <c r="B172" s="10" t="s">
        <v>2</v>
      </c>
      <c r="C172" s="15" t="s">
        <v>4</v>
      </c>
      <c r="D172" s="33" t="s">
        <v>180</v>
      </c>
      <c r="E172" s="9" t="s">
        <v>87</v>
      </c>
      <c r="F172" s="9" t="s">
        <v>87</v>
      </c>
      <c r="G172" s="9" t="s">
        <v>87</v>
      </c>
      <c r="H172" s="9" t="s">
        <v>87</v>
      </c>
      <c r="I172" s="9" t="s">
        <v>87</v>
      </c>
      <c r="J172" s="9" t="s">
        <v>87</v>
      </c>
      <c r="K172" s="9" t="s">
        <v>87</v>
      </c>
      <c r="L172" s="9" t="s">
        <v>87</v>
      </c>
      <c r="M172" s="9" t="s">
        <v>87</v>
      </c>
      <c r="N172" s="9" t="s">
        <v>87</v>
      </c>
      <c r="O172" s="9" t="s">
        <v>87</v>
      </c>
      <c r="P172" s="9" t="s">
        <v>87</v>
      </c>
      <c r="Q172" s="9" t="s">
        <v>87</v>
      </c>
      <c r="R172" s="9" t="s">
        <v>87</v>
      </c>
      <c r="S172" s="9" t="s">
        <v>87</v>
      </c>
      <c r="T172" s="9" t="s">
        <v>87</v>
      </c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79"/>
      <c r="AG172" s="79"/>
    </row>
    <row r="173" spans="1:33" s="164" customFormat="1" ht="38.25" x14ac:dyDescent="0.25">
      <c r="A173" s="158" t="s">
        <v>88</v>
      </c>
      <c r="B173" s="165" t="s">
        <v>61</v>
      </c>
      <c r="C173" s="160" t="s">
        <v>224</v>
      </c>
      <c r="D173" s="161" t="s">
        <v>181</v>
      </c>
      <c r="E173" s="162">
        <v>734.62761999999998</v>
      </c>
      <c r="F173" s="162">
        <v>729.64785899999993</v>
      </c>
      <c r="G173" s="162">
        <v>0</v>
      </c>
      <c r="H173" s="162">
        <v>0</v>
      </c>
      <c r="I173" s="162">
        <v>0</v>
      </c>
      <c r="J173" s="162">
        <v>0</v>
      </c>
      <c r="K173" s="162">
        <v>560.89220699999998</v>
      </c>
      <c r="L173" s="162">
        <v>553.45709399999998</v>
      </c>
      <c r="M173" s="162">
        <v>133.524179</v>
      </c>
      <c r="N173" s="162">
        <v>0</v>
      </c>
      <c r="O173" s="162">
        <v>0</v>
      </c>
      <c r="P173" s="162">
        <v>0</v>
      </c>
      <c r="Q173" s="162">
        <v>90.055382000000009</v>
      </c>
      <c r="R173" s="162">
        <v>93.078803000000022</v>
      </c>
      <c r="S173" s="162">
        <v>89.487642999999991</v>
      </c>
      <c r="T173" s="162">
        <v>88.150790999999984</v>
      </c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3"/>
      <c r="AG173" s="163"/>
    </row>
    <row r="174" spans="1:33" s="1" customFormat="1" ht="25.5" customHeight="1" x14ac:dyDescent="0.25">
      <c r="A174" s="9"/>
      <c r="B174" s="75" t="s">
        <v>44</v>
      </c>
      <c r="C174" s="15"/>
      <c r="D174" s="33"/>
      <c r="E174" s="72">
        <v>173857.17</v>
      </c>
      <c r="F174" s="72">
        <v>174500.05</v>
      </c>
      <c r="G174" s="72">
        <v>0</v>
      </c>
      <c r="H174" s="72">
        <v>0</v>
      </c>
      <c r="I174" s="72">
        <v>0</v>
      </c>
      <c r="J174" s="72">
        <v>0</v>
      </c>
      <c r="K174" s="72">
        <v>126291.24</v>
      </c>
      <c r="L174" s="72">
        <v>124217.88</v>
      </c>
      <c r="M174" s="72">
        <v>25601.58</v>
      </c>
      <c r="N174" s="72">
        <v>4961.9799999999996</v>
      </c>
      <c r="O174" s="72">
        <v>5365.67</v>
      </c>
      <c r="P174" s="72">
        <v>6890.32</v>
      </c>
      <c r="Q174" s="72">
        <v>17265</v>
      </c>
      <c r="R174" s="72">
        <v>17809.810000000001</v>
      </c>
      <c r="S174" s="72">
        <v>17151.349999999999</v>
      </c>
      <c r="T174" s="72">
        <v>16978.89</v>
      </c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9"/>
      <c r="AG174" s="79"/>
    </row>
    <row r="175" spans="1:33" s="1" customFormat="1" ht="38.25" x14ac:dyDescent="0.25">
      <c r="A175" s="9" t="s">
        <v>89</v>
      </c>
      <c r="B175" s="137" t="s">
        <v>62</v>
      </c>
      <c r="C175" s="15" t="s">
        <v>38</v>
      </c>
      <c r="D175" s="33" t="s">
        <v>182</v>
      </c>
      <c r="E175" s="72">
        <f>1060825.39+176804.23+119221.12+174735.14+152237.28</f>
        <v>1683823.16</v>
      </c>
      <c r="F175" s="72">
        <f>1064747.94+177457.99+175435.55-177330.44+122808.4+163596.97+150177.81</f>
        <v>1676894.22</v>
      </c>
      <c r="G175" s="72">
        <v>0</v>
      </c>
      <c r="H175" s="72">
        <v>0</v>
      </c>
      <c r="I175" s="72">
        <v>0</v>
      </c>
      <c r="J175" s="72">
        <v>0</v>
      </c>
      <c r="K175" s="72">
        <f>770592+126603.7+125540.43-126639.57+155049.49+149912.18+124114.92</f>
        <v>1325173.1499999997</v>
      </c>
      <c r="L175" s="72">
        <f>757940.9+126323.49+124705.94-126287.75+159212.48+151019.29+114216.7</f>
        <v>1307131.05</v>
      </c>
      <c r="M175" s="72">
        <f>156213.36+26035.56*6</f>
        <v>312426.71999999997</v>
      </c>
      <c r="N175" s="72">
        <v>-4961.9799999999996</v>
      </c>
      <c r="O175" s="72">
        <v>-5365.67</v>
      </c>
      <c r="P175" s="72">
        <v>-6890.32</v>
      </c>
      <c r="Q175" s="72">
        <f>105345.96+17557.66*6</f>
        <v>210691.91999999998</v>
      </c>
      <c r="R175" s="72">
        <f>108670.26+18111.71*6</f>
        <v>217340.52</v>
      </c>
      <c r="S175" s="72">
        <f>104652.54+17442.09*2+17432.85+17442.09*3</f>
        <v>209295.84000000003</v>
      </c>
      <c r="T175" s="72">
        <f>103600.2+17266.7*6</f>
        <v>207200.40000000002</v>
      </c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9"/>
      <c r="AG175" s="79"/>
    </row>
    <row r="176" spans="1:33" s="1" customFormat="1" ht="38.25" x14ac:dyDescent="0.25">
      <c r="A176" s="9" t="s">
        <v>90</v>
      </c>
      <c r="B176" s="37" t="s">
        <v>63</v>
      </c>
      <c r="C176" s="15" t="s">
        <v>38</v>
      </c>
      <c r="D176" s="33" t="s">
        <v>183</v>
      </c>
      <c r="E176" s="30">
        <f>E174+E175-E177</f>
        <v>1611366.89</v>
      </c>
      <c r="F176" s="30">
        <f t="shared" ref="F176:T176" si="35">F174+F175-F177</f>
        <v>1578280.78</v>
      </c>
      <c r="G176" s="30">
        <f t="shared" ref="G176:J176" si="36">G174+G175-G177</f>
        <v>0</v>
      </c>
      <c r="H176" s="30">
        <f t="shared" si="36"/>
        <v>0</v>
      </c>
      <c r="I176" s="30">
        <f t="shared" si="36"/>
        <v>0</v>
      </c>
      <c r="J176" s="30">
        <f t="shared" si="36"/>
        <v>0</v>
      </c>
      <c r="K176" s="30">
        <f t="shared" si="35"/>
        <v>1173977.8099999996</v>
      </c>
      <c r="L176" s="30">
        <f t="shared" si="35"/>
        <v>1204375.3900000001</v>
      </c>
      <c r="M176" s="30">
        <f t="shared" si="35"/>
        <v>302123.36</v>
      </c>
      <c r="N176" s="30">
        <f t="shared" si="35"/>
        <v>0</v>
      </c>
      <c r="O176" s="30">
        <f t="shared" si="35"/>
        <v>0</v>
      </c>
      <c r="P176" s="30">
        <f t="shared" si="35"/>
        <v>0</v>
      </c>
      <c r="Q176" s="30">
        <f t="shared" si="35"/>
        <v>193768.05</v>
      </c>
      <c r="R176" s="30">
        <f t="shared" si="35"/>
        <v>208654.15999999997</v>
      </c>
      <c r="S176" s="30">
        <f t="shared" si="35"/>
        <v>201916.85000000003</v>
      </c>
      <c r="T176" s="30">
        <f t="shared" si="35"/>
        <v>184340.44000000003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79"/>
      <c r="AG176" s="79"/>
    </row>
    <row r="177" spans="1:34" s="1" customFormat="1" ht="38.25" x14ac:dyDescent="0.25">
      <c r="A177" s="9" t="s">
        <v>91</v>
      </c>
      <c r="B177" s="37" t="s">
        <v>64</v>
      </c>
      <c r="C177" s="15" t="s">
        <v>38</v>
      </c>
      <c r="D177" s="33" t="s">
        <v>184</v>
      </c>
      <c r="E177" s="72">
        <f>148010.79-1972.03+100274.68</f>
        <v>246313.44</v>
      </c>
      <c r="F177" s="72">
        <f>154503.81-184.41+118794.09</f>
        <v>273113.49</v>
      </c>
      <c r="G177" s="72">
        <v>0</v>
      </c>
      <c r="H177" s="72">
        <v>0</v>
      </c>
      <c r="I177" s="72">
        <v>0</v>
      </c>
      <c r="J177" s="72">
        <v>0</v>
      </c>
      <c r="K177" s="72">
        <f>137587.98-1003.41+140902.01</f>
        <v>277486.58</v>
      </c>
      <c r="L177" s="72">
        <f>135176.28-172.97+91970.23</f>
        <v>226973.53999999998</v>
      </c>
      <c r="M177" s="72">
        <f>28846.2-0.94+7059.86-0.18</f>
        <v>35904.94</v>
      </c>
      <c r="N177" s="72">
        <v>0</v>
      </c>
      <c r="O177" s="72">
        <v>0</v>
      </c>
      <c r="P177" s="72">
        <v>0</v>
      </c>
      <c r="Q177" s="72">
        <f>29011.31+5177.56</f>
        <v>34188.870000000003</v>
      </c>
      <c r="R177" s="72">
        <v>26496.17</v>
      </c>
      <c r="S177" s="72">
        <v>24530.34</v>
      </c>
      <c r="T177" s="72">
        <f>39840.26-1.41</f>
        <v>39838.85</v>
      </c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9"/>
      <c r="AG177" s="79"/>
    </row>
    <row r="178" spans="1:34" s="164" customFormat="1" ht="51" x14ac:dyDescent="0.25">
      <c r="A178" s="158" t="s">
        <v>92</v>
      </c>
      <c r="B178" s="159" t="s">
        <v>65</v>
      </c>
      <c r="C178" s="160" t="s">
        <v>38</v>
      </c>
      <c r="D178" s="161" t="s">
        <v>185</v>
      </c>
      <c r="E178" s="162">
        <v>1626728.1818231996</v>
      </c>
      <c r="F178" s="162">
        <v>1615703.0330552401</v>
      </c>
      <c r="G178" s="162">
        <v>0</v>
      </c>
      <c r="H178" s="162">
        <v>0</v>
      </c>
      <c r="I178" s="162">
        <v>0</v>
      </c>
      <c r="J178" s="162">
        <v>0</v>
      </c>
      <c r="K178" s="162">
        <v>1242017.86519252</v>
      </c>
      <c r="L178" s="162">
        <v>1225553.2506698403</v>
      </c>
      <c r="M178" s="162">
        <v>295670.55671043997</v>
      </c>
      <c r="N178" s="162">
        <v>0</v>
      </c>
      <c r="O178" s="162">
        <v>0</v>
      </c>
      <c r="P178" s="162">
        <v>0</v>
      </c>
      <c r="Q178" s="162">
        <v>199415.03568551995</v>
      </c>
      <c r="R178" s="162">
        <v>206109.97821108007</v>
      </c>
      <c r="S178" s="162">
        <v>198157.85715348</v>
      </c>
      <c r="T178" s="162">
        <v>195197.58555876001</v>
      </c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3"/>
      <c r="AG178" s="163"/>
    </row>
    <row r="179" spans="1:34" s="164" customFormat="1" ht="51" x14ac:dyDescent="0.25">
      <c r="A179" s="158" t="s">
        <v>93</v>
      </c>
      <c r="B179" s="159" t="s">
        <v>66</v>
      </c>
      <c r="C179" s="160" t="s">
        <v>38</v>
      </c>
      <c r="D179" s="161" t="s">
        <v>186</v>
      </c>
      <c r="E179" s="162">
        <v>1200620.8600000001</v>
      </c>
      <c r="F179" s="162">
        <v>1203399</v>
      </c>
      <c r="G179" s="162">
        <v>0</v>
      </c>
      <c r="H179" s="162">
        <v>0</v>
      </c>
      <c r="I179" s="162">
        <v>0</v>
      </c>
      <c r="J179" s="162">
        <v>0</v>
      </c>
      <c r="K179" s="162">
        <v>863874.24</v>
      </c>
      <c r="L179" s="162">
        <v>852746.55</v>
      </c>
      <c r="M179" s="162">
        <v>201876.6</v>
      </c>
      <c r="N179" s="162">
        <v>0</v>
      </c>
      <c r="O179" s="162">
        <v>0</v>
      </c>
      <c r="P179" s="162">
        <v>0</v>
      </c>
      <c r="Q179" s="162">
        <v>137582.51</v>
      </c>
      <c r="R179" s="162">
        <v>140931.24000000002</v>
      </c>
      <c r="S179" s="162">
        <v>137043.53</v>
      </c>
      <c r="T179" s="162">
        <v>135102.24</v>
      </c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3"/>
      <c r="AG179" s="163"/>
      <c r="AH179" s="169"/>
    </row>
    <row r="180" spans="1:34" s="164" customFormat="1" ht="63.75" x14ac:dyDescent="0.25">
      <c r="A180" s="158" t="s">
        <v>94</v>
      </c>
      <c r="B180" s="159" t="s">
        <v>67</v>
      </c>
      <c r="C180" s="160" t="s">
        <v>38</v>
      </c>
      <c r="D180" s="161" t="s">
        <v>187</v>
      </c>
      <c r="E180" s="162">
        <v>0</v>
      </c>
      <c r="F180" s="162">
        <v>0</v>
      </c>
      <c r="G180" s="162">
        <v>0</v>
      </c>
      <c r="H180" s="162">
        <v>0</v>
      </c>
      <c r="I180" s="162">
        <v>0</v>
      </c>
      <c r="J180" s="162">
        <v>0</v>
      </c>
      <c r="K180" s="162">
        <v>0</v>
      </c>
      <c r="L180" s="162">
        <v>0</v>
      </c>
      <c r="M180" s="162">
        <v>0</v>
      </c>
      <c r="N180" s="162">
        <v>0</v>
      </c>
      <c r="O180" s="162">
        <v>0</v>
      </c>
      <c r="P180" s="162">
        <v>0</v>
      </c>
      <c r="Q180" s="162">
        <v>0</v>
      </c>
      <c r="R180" s="162">
        <v>0</v>
      </c>
      <c r="S180" s="162">
        <v>0</v>
      </c>
      <c r="T180" s="162">
        <v>0</v>
      </c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3"/>
      <c r="AG180" s="163"/>
      <c r="AH180" s="169"/>
    </row>
    <row r="181" spans="1:34" s="164" customFormat="1" ht="51" x14ac:dyDescent="0.25">
      <c r="A181" s="158" t="s">
        <v>95</v>
      </c>
      <c r="B181" s="159" t="s">
        <v>68</v>
      </c>
      <c r="C181" s="160" t="s">
        <v>38</v>
      </c>
      <c r="D181" s="161" t="s">
        <v>188</v>
      </c>
      <c r="E181" s="162">
        <v>7258.3112486906557</v>
      </c>
      <c r="F181" s="162">
        <v>7209.1180508256757</v>
      </c>
      <c r="G181" s="162">
        <v>0</v>
      </c>
      <c r="H181" s="162">
        <v>0</v>
      </c>
      <c r="I181" s="162">
        <v>0</v>
      </c>
      <c r="J181" s="162">
        <v>0</v>
      </c>
      <c r="K181" s="162">
        <v>5541.7692659002632</v>
      </c>
      <c r="L181" s="162">
        <v>5468.3056730697863</v>
      </c>
      <c r="M181" s="162">
        <v>1319.2547787994613</v>
      </c>
      <c r="N181" s="162">
        <v>0</v>
      </c>
      <c r="O181" s="162">
        <v>0</v>
      </c>
      <c r="P181" s="162">
        <v>0</v>
      </c>
      <c r="Q181" s="162">
        <v>889.77151367232534</v>
      </c>
      <c r="R181" s="162">
        <v>919.64373030051911</v>
      </c>
      <c r="S181" s="162">
        <v>884.16209890796631</v>
      </c>
      <c r="T181" s="162">
        <v>870.95363983335073</v>
      </c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3"/>
      <c r="AG181" s="163"/>
    </row>
    <row r="182" spans="1:34" s="1" customFormat="1" ht="30.75" customHeight="1" x14ac:dyDescent="0.25">
      <c r="A182" s="13" t="s">
        <v>96</v>
      </c>
      <c r="B182" s="11" t="s">
        <v>40</v>
      </c>
      <c r="C182" s="15" t="s">
        <v>4</v>
      </c>
      <c r="D182" s="33" t="s">
        <v>179</v>
      </c>
      <c r="E182" s="13" t="s">
        <v>290</v>
      </c>
      <c r="F182" s="13" t="s">
        <v>290</v>
      </c>
      <c r="G182" s="13" t="s">
        <v>290</v>
      </c>
      <c r="H182" s="13" t="s">
        <v>290</v>
      </c>
      <c r="I182" s="13" t="s">
        <v>290</v>
      </c>
      <c r="J182" s="13" t="s">
        <v>290</v>
      </c>
      <c r="K182" s="13" t="s">
        <v>290</v>
      </c>
      <c r="L182" s="13" t="s">
        <v>290</v>
      </c>
      <c r="M182" s="13" t="s">
        <v>290</v>
      </c>
      <c r="N182" s="13" t="s">
        <v>290</v>
      </c>
      <c r="O182" s="13" t="s">
        <v>290</v>
      </c>
      <c r="P182" s="13" t="s">
        <v>290</v>
      </c>
      <c r="Q182" s="13" t="s">
        <v>290</v>
      </c>
      <c r="R182" s="13" t="s">
        <v>290</v>
      </c>
      <c r="S182" s="13" t="s">
        <v>290</v>
      </c>
      <c r="T182" s="13" t="s">
        <v>290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79"/>
      <c r="AG182" s="79"/>
    </row>
    <row r="183" spans="1:34" s="1" customFormat="1" ht="25.5" x14ac:dyDescent="0.25">
      <c r="A183" s="9" t="s">
        <v>97</v>
      </c>
      <c r="B183" s="10" t="s">
        <v>2</v>
      </c>
      <c r="C183" s="15" t="s">
        <v>4</v>
      </c>
      <c r="D183" s="33" t="s">
        <v>180</v>
      </c>
      <c r="E183" s="9" t="s">
        <v>200</v>
      </c>
      <c r="F183" s="9" t="s">
        <v>200</v>
      </c>
      <c r="G183" s="9" t="s">
        <v>200</v>
      </c>
      <c r="H183" s="9" t="s">
        <v>200</v>
      </c>
      <c r="I183" s="9" t="s">
        <v>200</v>
      </c>
      <c r="J183" s="9" t="s">
        <v>200</v>
      </c>
      <c r="K183" s="9" t="s">
        <v>200</v>
      </c>
      <c r="L183" s="9" t="s">
        <v>200</v>
      </c>
      <c r="M183" s="9" t="s">
        <v>200</v>
      </c>
      <c r="N183" s="9" t="s">
        <v>200</v>
      </c>
      <c r="O183" s="9" t="s">
        <v>200</v>
      </c>
      <c r="P183" s="9" t="s">
        <v>200</v>
      </c>
      <c r="Q183" s="9" t="s">
        <v>200</v>
      </c>
      <c r="R183" s="9" t="s">
        <v>200</v>
      </c>
      <c r="S183" s="9" t="s">
        <v>200</v>
      </c>
      <c r="T183" s="9" t="s">
        <v>200</v>
      </c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79"/>
      <c r="AG183" s="79"/>
    </row>
    <row r="184" spans="1:34" s="164" customFormat="1" ht="38.25" x14ac:dyDescent="0.25">
      <c r="A184" s="158" t="s">
        <v>99</v>
      </c>
      <c r="B184" s="165" t="s">
        <v>61</v>
      </c>
      <c r="C184" s="160" t="s">
        <v>224</v>
      </c>
      <c r="D184" s="161" t="s">
        <v>181</v>
      </c>
      <c r="E184" s="162">
        <v>501.55900000000003</v>
      </c>
      <c r="F184" s="162">
        <v>424.18493799999999</v>
      </c>
      <c r="G184" s="162">
        <v>0</v>
      </c>
      <c r="H184" s="162">
        <v>0</v>
      </c>
      <c r="I184" s="162">
        <v>0</v>
      </c>
      <c r="J184" s="162">
        <v>0</v>
      </c>
      <c r="K184" s="162">
        <v>295.92974599999997</v>
      </c>
      <c r="L184" s="162">
        <v>336.82787199999996</v>
      </c>
      <c r="M184" s="162">
        <v>41.334898000000003</v>
      </c>
      <c r="N184" s="162">
        <v>0</v>
      </c>
      <c r="O184" s="162">
        <v>0</v>
      </c>
      <c r="P184" s="162">
        <v>3.9568040000000004</v>
      </c>
      <c r="Q184" s="162">
        <v>39.713510999999997</v>
      </c>
      <c r="R184" s="162">
        <v>36.197005000000004</v>
      </c>
      <c r="S184" s="162">
        <v>32.063402000000004</v>
      </c>
      <c r="T184" s="162">
        <v>33.96461</v>
      </c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3"/>
      <c r="AG184" s="163"/>
    </row>
    <row r="185" spans="1:34" s="1" customFormat="1" ht="25.5" customHeight="1" x14ac:dyDescent="0.25">
      <c r="A185" s="9"/>
      <c r="B185" s="75" t="s">
        <v>44</v>
      </c>
      <c r="C185" s="15"/>
      <c r="D185" s="33"/>
      <c r="E185" s="72">
        <v>118280.29</v>
      </c>
      <c r="F185" s="72">
        <v>90276.59</v>
      </c>
      <c r="G185" s="72">
        <v>0</v>
      </c>
      <c r="H185" s="72">
        <v>0</v>
      </c>
      <c r="I185" s="72">
        <v>0</v>
      </c>
      <c r="J185" s="72">
        <v>0</v>
      </c>
      <c r="K185" s="72">
        <v>65896.88</v>
      </c>
      <c r="L185" s="72">
        <v>72370.289999999994</v>
      </c>
      <c r="M185" s="72">
        <v>11455.14</v>
      </c>
      <c r="N185" s="72">
        <v>0</v>
      </c>
      <c r="O185" s="72">
        <v>1431.89</v>
      </c>
      <c r="P185" s="72">
        <v>1431.89</v>
      </c>
      <c r="Q185" s="72">
        <v>9903.91</v>
      </c>
      <c r="R185" s="72">
        <v>7159.46</v>
      </c>
      <c r="S185" s="72">
        <v>5697.75</v>
      </c>
      <c r="T185" s="72">
        <v>5250.28</v>
      </c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9"/>
      <c r="AG185" s="79"/>
    </row>
    <row r="186" spans="1:34" s="1" customFormat="1" ht="38.25" x14ac:dyDescent="0.25">
      <c r="A186" s="9" t="s">
        <v>100</v>
      </c>
      <c r="B186" s="137" t="s">
        <v>62</v>
      </c>
      <c r="C186" s="15" t="s">
        <v>38</v>
      </c>
      <c r="D186" s="33" t="s">
        <v>182</v>
      </c>
      <c r="E186" s="72">
        <f>529598.06+1733.29*6+93088.9+98403.42+87888.65+76232.49+82503.88+91786.43</f>
        <v>1069901.57</v>
      </c>
      <c r="F186" s="72">
        <f>424936.15+1799.62*1+86141.27+1786.13*1+93793.59+1799.52*1+75608.59+1799.37*3+76871.94+81436.55+80246.86</f>
        <v>929818.33</v>
      </c>
      <c r="G186" s="72">
        <f>777.99*5+1781.84</f>
        <v>5671.79</v>
      </c>
      <c r="H186" s="72">
        <f>714.25+1635.87+714.25*2+714.23*2</f>
        <v>5207.08</v>
      </c>
      <c r="I186" s="72">
        <f>586.58*5+1343.48</f>
        <v>4276.38</v>
      </c>
      <c r="J186" s="72">
        <v>0</v>
      </c>
      <c r="K186" s="72">
        <f>300077.38+1077.13+68067.7+1067.89+50364.43+1077.08*4+52294.07+58026.78+56130.69+59974.37</f>
        <v>651388.76000000013</v>
      </c>
      <c r="L186" s="72">
        <f>373189.75+1077.99+56653.95+1065.55+58522.86+1059.38+72081.2+1068.53*3+58691.31+53189.51+61771.24</f>
        <v>740508.32999999984</v>
      </c>
      <c r="M186" s="72">
        <f>42579.78+179.94*6+3579.74*1+12013.35+9586.41+1475.91+7998.27+8403.27</f>
        <v>86716.37000000001</v>
      </c>
      <c r="N186" s="72">
        <v>0</v>
      </c>
      <c r="O186" s="72">
        <v>-1431.89</v>
      </c>
      <c r="P186" s="72">
        <f>-1431.85+1941.56+1941.56+485.39+1456.17*3</f>
        <v>7305.17</v>
      </c>
      <c r="Q186" s="72">
        <f>41758.15+125.87*6+8372.96+6279.73+7129.13+7007.8+7462.85+6552.75</f>
        <v>85318.59</v>
      </c>
      <c r="R186" s="72">
        <f>37581.04+125.08*6+5217.93+8797.67+7584.2+4632.44+8403.29+7341.51</f>
        <v>80308.56</v>
      </c>
      <c r="S186" s="72">
        <f>29677.65+130.21*5+7584.19+5794.32+130.14+6915.94+6916.79*2+6635.83</f>
        <v>71222.7</v>
      </c>
      <c r="T186" s="72">
        <f>32660.28+104.18*6+7280.84*6</f>
        <v>76970.399999999994</v>
      </c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9"/>
      <c r="AG186" s="79"/>
    </row>
    <row r="187" spans="1:34" s="1" customFormat="1" ht="38.25" x14ac:dyDescent="0.25">
      <c r="A187" s="9" t="s">
        <v>101</v>
      </c>
      <c r="B187" s="37" t="s">
        <v>63</v>
      </c>
      <c r="C187" s="15" t="s">
        <v>38</v>
      </c>
      <c r="D187" s="33" t="s">
        <v>183</v>
      </c>
      <c r="E187" s="30">
        <f>E185+E186-E188</f>
        <v>978315.10000000009</v>
      </c>
      <c r="F187" s="30">
        <f t="shared" ref="F187:T187" si="37">F185+F186-F188</f>
        <v>776675.49999999988</v>
      </c>
      <c r="G187" s="30">
        <f t="shared" ref="G187:J187" si="38">G185+G186-G188</f>
        <v>1947.42</v>
      </c>
      <c r="H187" s="30">
        <f t="shared" si="38"/>
        <v>2530.41</v>
      </c>
      <c r="I187" s="30">
        <f t="shared" si="38"/>
        <v>2975.2200000000003</v>
      </c>
      <c r="J187" s="30">
        <f t="shared" si="38"/>
        <v>0</v>
      </c>
      <c r="K187" s="30">
        <f t="shared" si="37"/>
        <v>539232.67000000016</v>
      </c>
      <c r="L187" s="30">
        <f t="shared" si="37"/>
        <v>615456.16999999993</v>
      </c>
      <c r="M187" s="30">
        <f t="shared" si="37"/>
        <v>90194.920000000013</v>
      </c>
      <c r="N187" s="30">
        <f t="shared" si="37"/>
        <v>0</v>
      </c>
      <c r="O187" s="30">
        <f t="shared" si="37"/>
        <v>0</v>
      </c>
      <c r="P187" s="30">
        <f t="shared" si="37"/>
        <v>6310.11</v>
      </c>
      <c r="Q187" s="30">
        <f t="shared" si="37"/>
        <v>87117.23</v>
      </c>
      <c r="R187" s="30">
        <f t="shared" si="37"/>
        <v>74664.81</v>
      </c>
      <c r="S187" s="30">
        <f t="shared" si="37"/>
        <v>71589.38</v>
      </c>
      <c r="T187" s="30">
        <f t="shared" si="37"/>
        <v>67753.299999999988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79"/>
      <c r="AG187" s="79"/>
    </row>
    <row r="188" spans="1:34" s="1" customFormat="1" ht="31.5" customHeight="1" x14ac:dyDescent="0.25">
      <c r="A188" s="9" t="s">
        <v>102</v>
      </c>
      <c r="B188" s="37" t="s">
        <v>64</v>
      </c>
      <c r="C188" s="15" t="s">
        <v>38</v>
      </c>
      <c r="D188" s="33" t="s">
        <v>184</v>
      </c>
      <c r="E188" s="72">
        <f>2908.39-24.17+213354.7-6372.16</f>
        <v>209866.76</v>
      </c>
      <c r="F188" s="72">
        <f>3510.58-95.08+240219.38-215.46</f>
        <v>243419.42</v>
      </c>
      <c r="G188" s="72">
        <f>3724.37</f>
        <v>3724.37</v>
      </c>
      <c r="H188" s="72">
        <v>2676.67</v>
      </c>
      <c r="I188" s="72">
        <v>1301.1600000000001</v>
      </c>
      <c r="J188" s="72">
        <v>0</v>
      </c>
      <c r="K188" s="72">
        <f>2552.2-6.71+175528.59-21.11</f>
        <v>178052.97</v>
      </c>
      <c r="L188" s="72">
        <f>2076.59-193.29+197034.05-1494.9</f>
        <v>197422.44999999998</v>
      </c>
      <c r="M188" s="72">
        <f>198.52-0.01+7778.08</f>
        <v>7976.59</v>
      </c>
      <c r="N188" s="72">
        <v>0</v>
      </c>
      <c r="O188" s="72">
        <v>0</v>
      </c>
      <c r="P188" s="72">
        <v>2426.9499999999998</v>
      </c>
      <c r="Q188" s="72">
        <f>195.51+7909.76</f>
        <v>8105.27</v>
      </c>
      <c r="R188" s="72">
        <f>182.96+12620.25</f>
        <v>12803.21</v>
      </c>
      <c r="S188" s="72">
        <f>172.13+5158.95-0.01</f>
        <v>5331.07</v>
      </c>
      <c r="T188" s="72">
        <f>240.36-0.01+14227.29-0.26</f>
        <v>14467.380000000001</v>
      </c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163"/>
      <c r="AG188" s="79"/>
    </row>
    <row r="189" spans="1:34" s="164" customFormat="1" ht="51" x14ac:dyDescent="0.25">
      <c r="A189" s="158" t="s">
        <v>103</v>
      </c>
      <c r="B189" s="159" t="s">
        <v>65</v>
      </c>
      <c r="C189" s="160" t="s">
        <v>38</v>
      </c>
      <c r="D189" s="161" t="s">
        <v>185</v>
      </c>
      <c r="E189" s="162">
        <v>1110606.0600400001</v>
      </c>
      <c r="F189" s="162">
        <v>939298.15930968011</v>
      </c>
      <c r="G189" s="162">
        <v>0</v>
      </c>
      <c r="H189" s="162">
        <v>0</v>
      </c>
      <c r="I189" s="162">
        <v>0</v>
      </c>
      <c r="J189" s="162">
        <v>0</v>
      </c>
      <c r="K189" s="162">
        <v>655294.99235255993</v>
      </c>
      <c r="L189" s="162">
        <v>745858.16664191999</v>
      </c>
      <c r="M189" s="162">
        <v>91530.344735280014</v>
      </c>
      <c r="N189" s="162">
        <v>0</v>
      </c>
      <c r="O189" s="162">
        <v>0</v>
      </c>
      <c r="P189" s="162">
        <v>8761.7885054400012</v>
      </c>
      <c r="Q189" s="162">
        <v>87940.010217960007</v>
      </c>
      <c r="R189" s="162">
        <v>80153.199991800007</v>
      </c>
      <c r="S189" s="162">
        <v>70999.914852720016</v>
      </c>
      <c r="T189" s="162">
        <v>75209.873799599998</v>
      </c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3"/>
      <c r="AG189" s="163"/>
    </row>
    <row r="190" spans="1:34" s="164" customFormat="1" ht="51" x14ac:dyDescent="0.25">
      <c r="A190" s="158" t="s">
        <v>104</v>
      </c>
      <c r="B190" s="159" t="s">
        <v>66</v>
      </c>
      <c r="C190" s="160" t="s">
        <v>38</v>
      </c>
      <c r="D190" s="161" t="s">
        <v>186</v>
      </c>
      <c r="E190" s="162">
        <v>692046.53730000008</v>
      </c>
      <c r="F190" s="162">
        <v>538750.55370000005</v>
      </c>
      <c r="G190" s="162">
        <v>0</v>
      </c>
      <c r="H190" s="162">
        <v>0</v>
      </c>
      <c r="I190" s="162">
        <v>0</v>
      </c>
      <c r="J190" s="162">
        <v>0</v>
      </c>
      <c r="K190" s="162">
        <v>382087.40909999999</v>
      </c>
      <c r="L190" s="162">
        <v>456577.53120000003</v>
      </c>
      <c r="M190" s="162">
        <v>63906.467700000008</v>
      </c>
      <c r="N190" s="162">
        <v>0</v>
      </c>
      <c r="O190" s="162">
        <v>0</v>
      </c>
      <c r="P190" s="162">
        <v>1392.9483</v>
      </c>
      <c r="Q190" s="162">
        <v>54861.3822</v>
      </c>
      <c r="R190" s="162">
        <v>45070.410900000003</v>
      </c>
      <c r="S190" s="162">
        <v>36234.856200000002</v>
      </c>
      <c r="T190" s="162">
        <v>36597.550499999998</v>
      </c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3"/>
      <c r="AG190" s="163"/>
    </row>
    <row r="191" spans="1:34" s="164" customFormat="1" ht="63.75" x14ac:dyDescent="0.25">
      <c r="A191" s="158" t="s">
        <v>105</v>
      </c>
      <c r="B191" s="159" t="s">
        <v>67</v>
      </c>
      <c r="C191" s="160" t="s">
        <v>38</v>
      </c>
      <c r="D191" s="161" t="s">
        <v>187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2">
        <v>0</v>
      </c>
      <c r="M191" s="162">
        <v>0</v>
      </c>
      <c r="N191" s="162">
        <v>0</v>
      </c>
      <c r="O191" s="162">
        <v>0</v>
      </c>
      <c r="P191" s="162">
        <v>0</v>
      </c>
      <c r="Q191" s="162">
        <v>0</v>
      </c>
      <c r="R191" s="162">
        <v>0</v>
      </c>
      <c r="S191" s="162">
        <v>0</v>
      </c>
      <c r="T191" s="162">
        <v>0</v>
      </c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3"/>
      <c r="AG191" s="163"/>
    </row>
    <row r="192" spans="1:34" s="164" customFormat="1" ht="51" x14ac:dyDescent="0.25">
      <c r="A192" s="158" t="s">
        <v>106</v>
      </c>
      <c r="B192" s="159" t="s">
        <v>68</v>
      </c>
      <c r="C192" s="160" t="s">
        <v>38</v>
      </c>
      <c r="D192" s="161" t="s">
        <v>188</v>
      </c>
      <c r="E192" s="162">
        <v>0</v>
      </c>
      <c r="F192" s="162">
        <v>0</v>
      </c>
      <c r="G192" s="162">
        <v>0</v>
      </c>
      <c r="H192" s="162">
        <v>0</v>
      </c>
      <c r="I192" s="162">
        <v>0</v>
      </c>
      <c r="J192" s="162">
        <v>0</v>
      </c>
      <c r="K192" s="162">
        <v>0</v>
      </c>
      <c r="L192" s="162">
        <v>0</v>
      </c>
      <c r="M192" s="162">
        <v>0</v>
      </c>
      <c r="N192" s="162">
        <v>0</v>
      </c>
      <c r="O192" s="162">
        <v>0</v>
      </c>
      <c r="P192" s="162">
        <v>0</v>
      </c>
      <c r="Q192" s="162">
        <v>0</v>
      </c>
      <c r="R192" s="162">
        <v>0</v>
      </c>
      <c r="S192" s="162">
        <v>0</v>
      </c>
      <c r="T192" s="162">
        <v>0</v>
      </c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3"/>
      <c r="AG192" s="163"/>
    </row>
    <row r="193" spans="1:33" s="1" customFormat="1" ht="25.5" x14ac:dyDescent="0.25">
      <c r="A193" s="13" t="s">
        <v>107</v>
      </c>
      <c r="B193" s="11" t="s">
        <v>40</v>
      </c>
      <c r="C193" s="15" t="s">
        <v>4</v>
      </c>
      <c r="D193" s="33" t="s">
        <v>179</v>
      </c>
      <c r="E193" s="13" t="s">
        <v>291</v>
      </c>
      <c r="F193" s="13" t="s">
        <v>291</v>
      </c>
      <c r="G193" s="13" t="s">
        <v>291</v>
      </c>
      <c r="H193" s="13" t="s">
        <v>291</v>
      </c>
      <c r="I193" s="13" t="s">
        <v>291</v>
      </c>
      <c r="J193" s="13" t="s">
        <v>291</v>
      </c>
      <c r="K193" s="13" t="s">
        <v>291</v>
      </c>
      <c r="L193" s="13" t="s">
        <v>291</v>
      </c>
      <c r="M193" s="13" t="s">
        <v>291</v>
      </c>
      <c r="N193" s="13" t="s">
        <v>291</v>
      </c>
      <c r="O193" s="13" t="s">
        <v>291</v>
      </c>
      <c r="P193" s="13" t="s">
        <v>291</v>
      </c>
      <c r="Q193" s="13" t="s">
        <v>291</v>
      </c>
      <c r="R193" s="13" t="s">
        <v>291</v>
      </c>
      <c r="S193" s="13" t="s">
        <v>291</v>
      </c>
      <c r="T193" s="13" t="s">
        <v>291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79"/>
      <c r="AG193" s="79"/>
    </row>
    <row r="194" spans="1:33" s="1" customFormat="1" ht="25.5" x14ac:dyDescent="0.25">
      <c r="A194" s="9" t="s">
        <v>108</v>
      </c>
      <c r="B194" s="10" t="s">
        <v>2</v>
      </c>
      <c r="C194" s="15" t="s">
        <v>4</v>
      </c>
      <c r="D194" s="33" t="s">
        <v>180</v>
      </c>
      <c r="E194" s="9" t="s">
        <v>98</v>
      </c>
      <c r="F194" s="9" t="s">
        <v>98</v>
      </c>
      <c r="G194" s="9" t="s">
        <v>98</v>
      </c>
      <c r="H194" s="9" t="s">
        <v>98</v>
      </c>
      <c r="I194" s="9" t="s">
        <v>98</v>
      </c>
      <c r="J194" s="9" t="s">
        <v>98</v>
      </c>
      <c r="K194" s="9" t="s">
        <v>98</v>
      </c>
      <c r="L194" s="9" t="s">
        <v>98</v>
      </c>
      <c r="M194" s="9" t="s">
        <v>98</v>
      </c>
      <c r="N194" s="9" t="s">
        <v>98</v>
      </c>
      <c r="O194" s="9" t="s">
        <v>98</v>
      </c>
      <c r="P194" s="9" t="s">
        <v>98</v>
      </c>
      <c r="Q194" s="9" t="s">
        <v>98</v>
      </c>
      <c r="R194" s="9" t="s">
        <v>98</v>
      </c>
      <c r="S194" s="9" t="s">
        <v>98</v>
      </c>
      <c r="T194" s="9" t="s">
        <v>98</v>
      </c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79"/>
      <c r="AG194" s="79"/>
    </row>
    <row r="195" spans="1:33" s="164" customFormat="1" ht="38.25" x14ac:dyDescent="0.25">
      <c r="A195" s="158" t="s">
        <v>109</v>
      </c>
      <c r="B195" s="165" t="s">
        <v>61</v>
      </c>
      <c r="C195" s="160" t="s">
        <v>224</v>
      </c>
      <c r="D195" s="161" t="s">
        <v>181</v>
      </c>
      <c r="E195" s="162">
        <v>7295.0737579999995</v>
      </c>
      <c r="F195" s="162">
        <v>6165.1803259999988</v>
      </c>
      <c r="G195" s="162">
        <v>0</v>
      </c>
      <c r="H195" s="162">
        <v>0</v>
      </c>
      <c r="I195" s="162">
        <v>0</v>
      </c>
      <c r="J195" s="162">
        <v>0</v>
      </c>
      <c r="K195" s="162">
        <v>4348.712998</v>
      </c>
      <c r="L195" s="162">
        <v>4946.3664809999991</v>
      </c>
      <c r="M195" s="162">
        <v>606.5986539999999</v>
      </c>
      <c r="N195" s="162">
        <v>0</v>
      </c>
      <c r="O195" s="162">
        <v>0</v>
      </c>
      <c r="P195" s="162">
        <v>57.599328</v>
      </c>
      <c r="Q195" s="162">
        <v>582.87188100000003</v>
      </c>
      <c r="R195" s="162">
        <v>530.32248300000003</v>
      </c>
      <c r="S195" s="162">
        <v>470.19218500000005</v>
      </c>
      <c r="T195" s="162">
        <v>498.52530899999999</v>
      </c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3"/>
      <c r="AG195" s="163"/>
    </row>
    <row r="196" spans="1:33" s="1" customFormat="1" ht="25.5" x14ac:dyDescent="0.25">
      <c r="A196" s="9"/>
      <c r="B196" s="75" t="s">
        <v>44</v>
      </c>
      <c r="C196" s="15"/>
      <c r="D196" s="33"/>
      <c r="E196" s="72">
        <v>17176.29</v>
      </c>
      <c r="F196" s="72">
        <v>13109.65</v>
      </c>
      <c r="G196" s="72">
        <v>0</v>
      </c>
      <c r="H196" s="72">
        <v>0</v>
      </c>
      <c r="I196" s="72">
        <v>0</v>
      </c>
      <c r="J196" s="72">
        <v>0</v>
      </c>
      <c r="K196" s="72">
        <v>9569.23</v>
      </c>
      <c r="L196" s="72">
        <v>10509.38</v>
      </c>
      <c r="M196" s="72">
        <v>1663.5</v>
      </c>
      <c r="N196" s="72">
        <v>0</v>
      </c>
      <c r="O196" s="72">
        <v>207.94</v>
      </c>
      <c r="P196" s="72">
        <v>207.93</v>
      </c>
      <c r="Q196" s="72">
        <v>1438.22</v>
      </c>
      <c r="R196" s="72">
        <v>1039.67</v>
      </c>
      <c r="S196" s="72">
        <v>827.41</v>
      </c>
      <c r="T196" s="72">
        <v>762.43</v>
      </c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9"/>
      <c r="AG196" s="79"/>
    </row>
    <row r="197" spans="1:33" s="1" customFormat="1" ht="38.25" x14ac:dyDescent="0.25">
      <c r="A197" s="9" t="s">
        <v>110</v>
      </c>
      <c r="B197" s="137" t="s">
        <v>62</v>
      </c>
      <c r="C197" s="15" t="s">
        <v>38</v>
      </c>
      <c r="D197" s="33" t="s">
        <v>182</v>
      </c>
      <c r="E197" s="72">
        <f>75937.23+14182.54+264.06*6+15088.25+13390.25+11669.53+12569.83+13984.15</f>
        <v>158406.13999999998</v>
      </c>
      <c r="F197" s="72">
        <f>61638.97+13124.02+274.19*1+14309.36+272.24+11519.29+274.13+274.16*3+11711.75+12407.24+12225.94</f>
        <v>138579.61000000002</v>
      </c>
      <c r="G197" s="72">
        <f>122.06+112.03+272.17+122.06*4</f>
        <v>994.5</v>
      </c>
      <c r="H197" s="72">
        <f>112.03*3+249.81+112.07*2</f>
        <v>810.04000000000008</v>
      </c>
      <c r="I197" s="72">
        <f>92.02*5+205.24</f>
        <v>665.33999999999992</v>
      </c>
      <c r="J197" s="72">
        <v>0</v>
      </c>
      <c r="K197" s="72">
        <f>44997.91+168.99+10684.53+167.66+7961.56+169.03*4+8277.03+9151.42+8810.76+9414.08</f>
        <v>100310.06</v>
      </c>
      <c r="L197" s="72">
        <f>55914+8892.95+169.09+122.65+9246.62+166.18+11314.57+167.61*3+9239.9+8349.13+9696.22</f>
        <v>113614.14</v>
      </c>
      <c r="M197" s="72">
        <f>6400.72+561.91+28.23*6+1885.75+1504.79+231.66+1255.51+1319.08</f>
        <v>13328.8</v>
      </c>
      <c r="N197" s="72">
        <v>0</v>
      </c>
      <c r="O197" s="72">
        <v>0</v>
      </c>
      <c r="P197" s="72">
        <f>-207.93+304.76*2+76.19+228.57*3</f>
        <v>1163.49</v>
      </c>
      <c r="Q197" s="72">
        <f>6259+1314.3+19.74*6+985.71+1119.07+1100.01+1171.44+1028.58</f>
        <v>13096.550000000001</v>
      </c>
      <c r="R197" s="72">
        <f>5630.12+819.05+19.64*6+1380.97+1190.49+727.14+1319.06+1152.39</f>
        <v>12337.06</v>
      </c>
      <c r="S197" s="72">
        <f>4443.64+20.43*5+1190.49+909.54+1085.6+20.42+1085.73+1085.73+1043.17</f>
        <v>10966.47</v>
      </c>
      <c r="T197" s="72">
        <f>4885.5+1142.86*6+16.33*6</f>
        <v>11840.64</v>
      </c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9"/>
      <c r="AG197" s="79"/>
    </row>
    <row r="198" spans="1:33" s="1" customFormat="1" ht="38.25" x14ac:dyDescent="0.25">
      <c r="A198" s="9" t="s">
        <v>111</v>
      </c>
      <c r="B198" s="37" t="s">
        <v>63</v>
      </c>
      <c r="C198" s="15" t="s">
        <v>38</v>
      </c>
      <c r="D198" s="33" t="s">
        <v>183</v>
      </c>
      <c r="E198" s="30">
        <f>E196+E197-E199</f>
        <v>144182.29999999999</v>
      </c>
      <c r="F198" s="30">
        <f t="shared" ref="F198:T198" si="39">F196+F197-F199</f>
        <v>115368.03000000001</v>
      </c>
      <c r="G198" s="30">
        <f t="shared" ref="G198:J198" si="40">G196+G197-G199</f>
        <v>414.67999999999995</v>
      </c>
      <c r="H198" s="30">
        <f t="shared" si="40"/>
        <v>393.20000000000005</v>
      </c>
      <c r="I198" s="30">
        <f t="shared" si="40"/>
        <v>462.39999999999992</v>
      </c>
      <c r="J198" s="30">
        <f t="shared" si="40"/>
        <v>0</v>
      </c>
      <c r="K198" s="30">
        <f t="shared" si="39"/>
        <v>82552.549999999988</v>
      </c>
      <c r="L198" s="30">
        <f t="shared" si="39"/>
        <v>94304.33</v>
      </c>
      <c r="M198" s="30">
        <f t="shared" si="39"/>
        <v>13740.419999999998</v>
      </c>
      <c r="N198" s="30">
        <f t="shared" si="39"/>
        <v>0</v>
      </c>
      <c r="O198" s="30">
        <f t="shared" si="39"/>
        <v>207.94</v>
      </c>
      <c r="P198" s="30">
        <f t="shared" si="39"/>
        <v>990.47</v>
      </c>
      <c r="Q198" s="30">
        <f t="shared" si="39"/>
        <v>13290.17</v>
      </c>
      <c r="R198" s="30">
        <f t="shared" si="39"/>
        <v>11379.84</v>
      </c>
      <c r="S198" s="30">
        <f t="shared" si="39"/>
        <v>10956.029999999999</v>
      </c>
      <c r="T198" s="30">
        <f t="shared" si="39"/>
        <v>10346.83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79"/>
      <c r="AG198" s="79"/>
    </row>
    <row r="199" spans="1:33" s="1" customFormat="1" ht="38.25" x14ac:dyDescent="0.25">
      <c r="A199" s="9" t="s">
        <v>112</v>
      </c>
      <c r="B199" s="37" t="s">
        <v>64</v>
      </c>
      <c r="C199" s="15" t="s">
        <v>38</v>
      </c>
      <c r="D199" s="33" t="s">
        <v>184</v>
      </c>
      <c r="E199" s="72">
        <f>437.56-8.27+31904.17-933.33</f>
        <v>31400.129999999997</v>
      </c>
      <c r="F199" s="72">
        <f>528.47-93.93+35997.06-110.37</f>
        <v>36321.229999999996</v>
      </c>
      <c r="G199" s="72">
        <v>579.82000000000005</v>
      </c>
      <c r="H199" s="72">
        <f>416.92-0.08</f>
        <v>416.84000000000003</v>
      </c>
      <c r="I199" s="72">
        <f>202.96-0.02</f>
        <v>202.94</v>
      </c>
      <c r="J199" s="72">
        <v>0</v>
      </c>
      <c r="K199" s="72">
        <f>393.7-1.05+26937.39-3.3</f>
        <v>27326.74</v>
      </c>
      <c r="L199" s="72">
        <f>321.33-201.67+30099.56-400.03</f>
        <v>29819.190000000002</v>
      </c>
      <c r="M199" s="72">
        <f>1220.94+30.94</f>
        <v>1251.8800000000001</v>
      </c>
      <c r="N199" s="72">
        <v>0</v>
      </c>
      <c r="O199" s="72">
        <v>0</v>
      </c>
      <c r="P199" s="72">
        <v>380.95</v>
      </c>
      <c r="Q199" s="72">
        <f>1214.48+30.12</f>
        <v>1244.5999999999999</v>
      </c>
      <c r="R199" s="72">
        <f>1968.34+28.55</f>
        <v>1996.8899999999999</v>
      </c>
      <c r="S199" s="72">
        <f>811.33+26.52</f>
        <v>837.85</v>
      </c>
      <c r="T199" s="72">
        <f>2218.89-0.04+37.39</f>
        <v>2256.2399999999998</v>
      </c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9"/>
      <c r="AG199" s="79"/>
    </row>
    <row r="200" spans="1:33" s="164" customFormat="1" ht="51" x14ac:dyDescent="0.25">
      <c r="A200" s="158" t="s">
        <v>113</v>
      </c>
      <c r="B200" s="159" t="s">
        <v>65</v>
      </c>
      <c r="C200" s="160" t="s">
        <v>38</v>
      </c>
      <c r="D200" s="161" t="s">
        <v>185</v>
      </c>
      <c r="E200" s="162">
        <v>165023.62898837996</v>
      </c>
      <c r="F200" s="162">
        <v>139735.32372076</v>
      </c>
      <c r="G200" s="162">
        <v>0</v>
      </c>
      <c r="H200" s="162">
        <v>0</v>
      </c>
      <c r="I200" s="162">
        <v>0</v>
      </c>
      <c r="J200" s="162">
        <v>0</v>
      </c>
      <c r="K200" s="162">
        <v>100912.37274258002</v>
      </c>
      <c r="L200" s="162">
        <v>114640.57544330999</v>
      </c>
      <c r="M200" s="162">
        <v>14064.118453039999</v>
      </c>
      <c r="N200" s="162">
        <v>0</v>
      </c>
      <c r="O200" s="162">
        <v>0</v>
      </c>
      <c r="P200" s="162">
        <v>1362.4802348800001</v>
      </c>
      <c r="Q200" s="162">
        <v>13502.78563701</v>
      </c>
      <c r="R200" s="162">
        <v>12318.885216730001</v>
      </c>
      <c r="S200" s="162">
        <v>10934.716401149999</v>
      </c>
      <c r="T200" s="162">
        <v>11601.51716299</v>
      </c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3"/>
      <c r="AG200" s="163"/>
    </row>
    <row r="201" spans="1:33" s="164" customFormat="1" ht="51" x14ac:dyDescent="0.25">
      <c r="A201" s="158" t="s">
        <v>114</v>
      </c>
      <c r="B201" s="159" t="s">
        <v>66</v>
      </c>
      <c r="C201" s="160" t="s">
        <v>38</v>
      </c>
      <c r="D201" s="161" t="s">
        <v>186</v>
      </c>
      <c r="E201" s="162">
        <v>103409.25270000003</v>
      </c>
      <c r="F201" s="162">
        <v>80502.956300000005</v>
      </c>
      <c r="G201" s="162">
        <v>0</v>
      </c>
      <c r="H201" s="162">
        <v>0</v>
      </c>
      <c r="I201" s="162">
        <v>0</v>
      </c>
      <c r="J201" s="162">
        <v>0</v>
      </c>
      <c r="K201" s="162">
        <v>57093.520900000003</v>
      </c>
      <c r="L201" s="162">
        <v>68224.228799999997</v>
      </c>
      <c r="M201" s="162">
        <v>9549.2423000000017</v>
      </c>
      <c r="N201" s="162">
        <v>0</v>
      </c>
      <c r="O201" s="162">
        <v>0</v>
      </c>
      <c r="P201" s="162">
        <v>208.14169999999999</v>
      </c>
      <c r="Q201" s="162">
        <v>8197.6777999999995</v>
      </c>
      <c r="R201" s="162">
        <v>6734.6591000000008</v>
      </c>
      <c r="S201" s="162">
        <v>5414.4038</v>
      </c>
      <c r="T201" s="162">
        <v>5468.5995000000003</v>
      </c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3"/>
      <c r="AG201" s="163"/>
    </row>
    <row r="202" spans="1:33" s="164" customFormat="1" ht="63.75" x14ac:dyDescent="0.25">
      <c r="A202" s="158" t="s">
        <v>115</v>
      </c>
      <c r="B202" s="159" t="s">
        <v>67</v>
      </c>
      <c r="C202" s="160" t="s">
        <v>38</v>
      </c>
      <c r="D202" s="161" t="s">
        <v>187</v>
      </c>
      <c r="E202" s="162">
        <v>0</v>
      </c>
      <c r="F202" s="162">
        <v>0</v>
      </c>
      <c r="G202" s="162">
        <v>0</v>
      </c>
      <c r="H202" s="162">
        <v>0</v>
      </c>
      <c r="I202" s="162">
        <v>0</v>
      </c>
      <c r="J202" s="162">
        <v>0</v>
      </c>
      <c r="K202" s="162">
        <v>0</v>
      </c>
      <c r="L202" s="162">
        <v>0</v>
      </c>
      <c r="M202" s="162">
        <v>0</v>
      </c>
      <c r="N202" s="162">
        <v>0</v>
      </c>
      <c r="O202" s="162">
        <v>0</v>
      </c>
      <c r="P202" s="162">
        <v>0</v>
      </c>
      <c r="Q202" s="162">
        <v>0</v>
      </c>
      <c r="R202" s="162">
        <v>0</v>
      </c>
      <c r="S202" s="162">
        <v>0</v>
      </c>
      <c r="T202" s="162">
        <v>0</v>
      </c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3"/>
      <c r="AG202" s="163"/>
    </row>
    <row r="203" spans="1:33" s="164" customFormat="1" ht="51" x14ac:dyDescent="0.25">
      <c r="A203" s="158" t="s">
        <v>116</v>
      </c>
      <c r="B203" s="159" t="s">
        <v>68</v>
      </c>
      <c r="C203" s="160" t="s">
        <v>38</v>
      </c>
      <c r="D203" s="161" t="s">
        <v>188</v>
      </c>
      <c r="E203" s="162">
        <v>0</v>
      </c>
      <c r="F203" s="162">
        <v>0</v>
      </c>
      <c r="G203" s="162">
        <v>0</v>
      </c>
      <c r="H203" s="162">
        <v>0</v>
      </c>
      <c r="I203" s="162">
        <v>0</v>
      </c>
      <c r="J203" s="162">
        <v>0</v>
      </c>
      <c r="K203" s="162">
        <v>0</v>
      </c>
      <c r="L203" s="162">
        <v>0</v>
      </c>
      <c r="M203" s="162">
        <v>0</v>
      </c>
      <c r="N203" s="162">
        <v>0</v>
      </c>
      <c r="O203" s="162">
        <v>0</v>
      </c>
      <c r="P203" s="162">
        <v>0</v>
      </c>
      <c r="Q203" s="162">
        <v>0</v>
      </c>
      <c r="R203" s="162">
        <v>0</v>
      </c>
      <c r="S203" s="162">
        <v>0</v>
      </c>
      <c r="T203" s="162">
        <v>0</v>
      </c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3"/>
      <c r="AG203" s="163"/>
    </row>
    <row r="204" spans="1:33" s="1" customFormat="1" x14ac:dyDescent="0.25">
      <c r="A204" s="13" t="s">
        <v>117</v>
      </c>
      <c r="B204" s="11" t="s">
        <v>40</v>
      </c>
      <c r="C204" s="15" t="s">
        <v>4</v>
      </c>
      <c r="D204" s="33" t="s">
        <v>179</v>
      </c>
      <c r="E204" s="13" t="s">
        <v>118</v>
      </c>
      <c r="F204" s="13" t="s">
        <v>118</v>
      </c>
      <c r="G204" s="13" t="s">
        <v>118</v>
      </c>
      <c r="H204" s="13" t="s">
        <v>118</v>
      </c>
      <c r="I204" s="13" t="s">
        <v>118</v>
      </c>
      <c r="J204" s="13" t="s">
        <v>118</v>
      </c>
      <c r="K204" s="13" t="s">
        <v>118</v>
      </c>
      <c r="L204" s="13" t="s">
        <v>118</v>
      </c>
      <c r="M204" s="13" t="s">
        <v>118</v>
      </c>
      <c r="N204" s="13" t="s">
        <v>118</v>
      </c>
      <c r="O204" s="13" t="s">
        <v>118</v>
      </c>
      <c r="P204" s="13" t="s">
        <v>118</v>
      </c>
      <c r="Q204" s="13" t="s">
        <v>118</v>
      </c>
      <c r="R204" s="13" t="s">
        <v>118</v>
      </c>
      <c r="S204" s="13" t="s">
        <v>118</v>
      </c>
      <c r="T204" s="13" t="s">
        <v>118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79"/>
      <c r="AG204" s="79"/>
    </row>
    <row r="205" spans="1:33" s="1" customFormat="1" ht="25.5" x14ac:dyDescent="0.25">
      <c r="A205" s="9" t="s">
        <v>119</v>
      </c>
      <c r="B205" s="10" t="s">
        <v>2</v>
      </c>
      <c r="C205" s="15" t="s">
        <v>4</v>
      </c>
      <c r="D205" s="33" t="s">
        <v>180</v>
      </c>
      <c r="E205" s="9" t="s">
        <v>98</v>
      </c>
      <c r="F205" s="9" t="s">
        <v>98</v>
      </c>
      <c r="G205" s="9" t="s">
        <v>98</v>
      </c>
      <c r="H205" s="9" t="s">
        <v>98</v>
      </c>
      <c r="I205" s="9" t="s">
        <v>98</v>
      </c>
      <c r="J205" s="9" t="s">
        <v>98</v>
      </c>
      <c r="K205" s="9" t="s">
        <v>98</v>
      </c>
      <c r="L205" s="9" t="s">
        <v>98</v>
      </c>
      <c r="M205" s="9" t="s">
        <v>98</v>
      </c>
      <c r="N205" s="9" t="s">
        <v>98</v>
      </c>
      <c r="O205" s="9" t="s">
        <v>98</v>
      </c>
      <c r="P205" s="9" t="s">
        <v>98</v>
      </c>
      <c r="Q205" s="9" t="s">
        <v>98</v>
      </c>
      <c r="R205" s="9" t="s">
        <v>98</v>
      </c>
      <c r="S205" s="9" t="s">
        <v>98</v>
      </c>
      <c r="T205" s="9" t="s">
        <v>98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79"/>
      <c r="AG205" s="79"/>
    </row>
    <row r="206" spans="1:33" s="164" customFormat="1" ht="38.25" x14ac:dyDescent="0.25">
      <c r="A206" s="158" t="s">
        <v>120</v>
      </c>
      <c r="B206" s="165" t="s">
        <v>61</v>
      </c>
      <c r="C206" s="160" t="s">
        <v>224</v>
      </c>
      <c r="D206" s="161" t="s">
        <v>181</v>
      </c>
      <c r="E206" s="162">
        <v>10158.530553999999</v>
      </c>
      <c r="F206" s="162">
        <v>8613.1141830000015</v>
      </c>
      <c r="G206" s="162">
        <v>0</v>
      </c>
      <c r="H206" s="162">
        <v>0</v>
      </c>
      <c r="I206" s="162">
        <v>0</v>
      </c>
      <c r="J206" s="162">
        <v>0</v>
      </c>
      <c r="K206" s="162">
        <v>6391.5840640000006</v>
      </c>
      <c r="L206" s="162">
        <v>7455.3531639999992</v>
      </c>
      <c r="M206" s="162">
        <v>958.66877800000009</v>
      </c>
      <c r="N206" s="162">
        <v>79.199824000000007</v>
      </c>
      <c r="O206" s="162">
        <v>164.33982399999996</v>
      </c>
      <c r="P206" s="162">
        <v>154.73956699999997</v>
      </c>
      <c r="Q206" s="162">
        <v>809.95877999999982</v>
      </c>
      <c r="R206" s="162">
        <v>744.07912400000009</v>
      </c>
      <c r="S206" s="162">
        <v>708.09732800000018</v>
      </c>
      <c r="T206" s="162">
        <v>672.99652000000003</v>
      </c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9"/>
      <c r="AG206" s="163"/>
    </row>
    <row r="207" spans="1:33" s="1" customFormat="1" ht="25.5" x14ac:dyDescent="0.25">
      <c r="A207" s="9"/>
      <c r="B207" s="75" t="s">
        <v>44</v>
      </c>
      <c r="C207" s="15"/>
      <c r="D207" s="33"/>
      <c r="E207" s="72">
        <v>23760.9</v>
      </c>
      <c r="F207" s="72">
        <v>18204.46</v>
      </c>
      <c r="G207" s="72">
        <v>0</v>
      </c>
      <c r="H207" s="72">
        <v>0</v>
      </c>
      <c r="I207" s="72">
        <v>0</v>
      </c>
      <c r="J207" s="72">
        <v>0</v>
      </c>
      <c r="K207" s="72">
        <v>13463.73</v>
      </c>
      <c r="L207" s="72">
        <v>14758.97</v>
      </c>
      <c r="M207" s="72">
        <v>2287.29</v>
      </c>
      <c r="N207" s="72">
        <v>0</v>
      </c>
      <c r="O207" s="72">
        <v>285.91000000000003</v>
      </c>
      <c r="P207" s="72">
        <v>285.91000000000003</v>
      </c>
      <c r="Q207" s="72">
        <v>2010.04</v>
      </c>
      <c r="R207" s="72">
        <v>1429.55</v>
      </c>
      <c r="S207" s="72">
        <v>1156.6400000000001</v>
      </c>
      <c r="T207" s="72">
        <v>1048.33</v>
      </c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9"/>
      <c r="AG207" s="79"/>
    </row>
    <row r="208" spans="1:33" s="1" customFormat="1" ht="38.25" x14ac:dyDescent="0.25">
      <c r="A208" s="9" t="s">
        <v>121</v>
      </c>
      <c r="B208" s="137" t="s">
        <v>62</v>
      </c>
      <c r="C208" s="15" t="s">
        <v>38</v>
      </c>
      <c r="D208" s="33" t="s">
        <v>182</v>
      </c>
      <c r="E208" s="72">
        <f>107815.32+20982.39+264.06*6+22806.58+19759.69+18279.39+18077.62+20077.52</f>
        <v>229382.87000000002</v>
      </c>
      <c r="F208" s="72">
        <f>87176.72+274.19*1+18259.27+272.24+21272.16+274.13+17283.66+274.16*3+17262.31+17858.35+17911.9</f>
        <v>198667.41000000003</v>
      </c>
      <c r="G208" s="72">
        <f>118.46+264.17+118.46*4</f>
        <v>856.47</v>
      </c>
      <c r="H208" s="72">
        <f>108.76*3+242.51+108.75*2</f>
        <v>786.29</v>
      </c>
      <c r="I208" s="72">
        <f>89.35*4+199.22+89.34</f>
        <v>645.96</v>
      </c>
      <c r="J208" s="72">
        <v>0</v>
      </c>
      <c r="K208" s="72">
        <f>65809.06+13204.92+164.01*1+13704.88+162.65+14206.55+164*3+12710.53+12022.38+12902.18</f>
        <v>145379.15999999997</v>
      </c>
      <c r="L208" s="72">
        <f>80997.56+164.18*1+13144.81+162.26+16537.16+18548.98+161.35+162.74*3+14097.86+12944.91+14160.36</f>
        <v>171407.65000000002</v>
      </c>
      <c r="M208" s="72">
        <f>10195.92+905.9+27.39*6+2158.46+2204.68+1690.03+1620.68+1908.87</f>
        <v>20848.879999999997</v>
      </c>
      <c r="N208" s="72">
        <f>305.05*6</f>
        <v>1830.3000000000002</v>
      </c>
      <c r="O208" s="72">
        <f>1744.8+305.05*6</f>
        <v>3575.1000000000004</v>
      </c>
      <c r="P208" s="72">
        <f>1744.74+406.74*2+101.67+305.05*3</f>
        <v>3575.0400000000004</v>
      </c>
      <c r="Q208" s="72">
        <f>8600.86+1904.25+19.17*6+1381.96+1479.03+1511.38+1349.61+1650.04</f>
        <v>17992.150000000001</v>
      </c>
      <c r="R208" s="72">
        <f>8138.72+850.44+19.05*6+1848.79+1802.57+741.14+1816.44+1677.78</f>
        <v>16990.18</v>
      </c>
      <c r="S208" s="72">
        <f>6611.12+1848.8+19.84*5+1326.51+1575.12+19.83+1599.21+1576.1+1529.88</f>
        <v>16185.77</v>
      </c>
      <c r="T208" s="72">
        <f>6488.1+1525.22+15.86*6+1525.22*6</f>
        <v>17259.8</v>
      </c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9"/>
      <c r="AG208" s="79"/>
    </row>
    <row r="209" spans="1:34" s="1" customFormat="1" ht="38.25" x14ac:dyDescent="0.25">
      <c r="A209" s="9" t="s">
        <v>122</v>
      </c>
      <c r="B209" s="37" t="s">
        <v>63</v>
      </c>
      <c r="C209" s="15" t="s">
        <v>38</v>
      </c>
      <c r="D209" s="33" t="s">
        <v>183</v>
      </c>
      <c r="E209" s="30">
        <f>E207+E208-E210</f>
        <v>209560.38</v>
      </c>
      <c r="F209" s="30">
        <f t="shared" ref="F209:T209" si="41">F207+F208-F210</f>
        <v>166275.07000000004</v>
      </c>
      <c r="G209" s="30">
        <f t="shared" ref="G209:J209" si="42">G207+G208-G210</f>
        <v>293.62</v>
      </c>
      <c r="H209" s="30">
        <f t="shared" si="42"/>
        <v>381.69999999999993</v>
      </c>
      <c r="I209" s="30">
        <f t="shared" si="42"/>
        <v>448.88000000000005</v>
      </c>
      <c r="J209" s="30">
        <f t="shared" si="42"/>
        <v>0</v>
      </c>
      <c r="K209" s="30">
        <f t="shared" si="41"/>
        <v>121113.63999999998</v>
      </c>
      <c r="L209" s="30">
        <f t="shared" si="41"/>
        <v>144903.45000000001</v>
      </c>
      <c r="M209" s="30">
        <f t="shared" si="41"/>
        <v>21384.019999999997</v>
      </c>
      <c r="N209" s="30">
        <f t="shared" si="41"/>
        <v>1220.2000000000003</v>
      </c>
      <c r="O209" s="30">
        <f t="shared" si="41"/>
        <v>3432.3900000000003</v>
      </c>
      <c r="P209" s="30">
        <f t="shared" si="41"/>
        <v>3352.53</v>
      </c>
      <c r="Q209" s="30">
        <f t="shared" si="41"/>
        <v>18357.870000000003</v>
      </c>
      <c r="R209" s="30">
        <f t="shared" si="41"/>
        <v>15924.4</v>
      </c>
      <c r="S209" s="30">
        <f t="shared" si="41"/>
        <v>16137.74</v>
      </c>
      <c r="T209" s="30">
        <f t="shared" si="41"/>
        <v>15310.459999999997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79"/>
      <c r="AG209" s="79"/>
    </row>
    <row r="210" spans="1:34" s="1" customFormat="1" ht="38.25" x14ac:dyDescent="0.25">
      <c r="A210" s="9" t="s">
        <v>123</v>
      </c>
      <c r="B210" s="37" t="s">
        <v>64</v>
      </c>
      <c r="C210" s="15" t="s">
        <v>38</v>
      </c>
      <c r="D210" s="33" t="s">
        <v>184</v>
      </c>
      <c r="E210" s="72">
        <f>437.62-8.27+44465.54-1311.5</f>
        <v>43583.39</v>
      </c>
      <c r="F210" s="72">
        <f>528.46-93.93+50251.96-89.69</f>
        <v>50596.799999999996</v>
      </c>
      <c r="G210" s="72">
        <f>562.85</f>
        <v>562.85</v>
      </c>
      <c r="H210" s="72">
        <f>404.67-0.08</f>
        <v>404.59000000000003</v>
      </c>
      <c r="I210" s="72">
        <f>197.1-0.02</f>
        <v>197.07999999999998</v>
      </c>
      <c r="J210" s="72">
        <v>0</v>
      </c>
      <c r="K210" s="72">
        <f>382.2-1.04+37352.5-4.41</f>
        <v>37729.25</v>
      </c>
      <c r="L210" s="72">
        <f>312.18-201.72+41619.28-466.57</f>
        <v>41263.17</v>
      </c>
      <c r="M210" s="72">
        <f>30.05+1722.1</f>
        <v>1752.1499999999999</v>
      </c>
      <c r="N210" s="72">
        <v>610.1</v>
      </c>
      <c r="O210" s="72">
        <v>428.62</v>
      </c>
      <c r="P210" s="72">
        <v>508.42</v>
      </c>
      <c r="Q210" s="72">
        <f>29.21+1615.11</f>
        <v>1644.32</v>
      </c>
      <c r="R210" s="72">
        <f>27.66+2467.67</f>
        <v>2495.33</v>
      </c>
      <c r="S210" s="72">
        <f>1178.89+25.78</f>
        <v>1204.67</v>
      </c>
      <c r="T210" s="72">
        <f>36.32+2961.35</f>
        <v>2997.67</v>
      </c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9"/>
      <c r="AG210" s="79"/>
    </row>
    <row r="211" spans="1:34" s="164" customFormat="1" ht="51" x14ac:dyDescent="0.25">
      <c r="A211" s="158" t="s">
        <v>124</v>
      </c>
      <c r="B211" s="159" t="s">
        <v>65</v>
      </c>
      <c r="C211" s="160" t="s">
        <v>38</v>
      </c>
      <c r="D211" s="161" t="s">
        <v>185</v>
      </c>
      <c r="E211" s="162">
        <v>229419.93</v>
      </c>
      <c r="F211" s="162">
        <v>194897.63</v>
      </c>
      <c r="G211" s="162">
        <v>0</v>
      </c>
      <c r="H211" s="162">
        <v>0</v>
      </c>
      <c r="I211" s="162">
        <v>0</v>
      </c>
      <c r="J211" s="162">
        <v>0</v>
      </c>
      <c r="K211" s="162">
        <v>144559.60999999999</v>
      </c>
      <c r="L211" s="162">
        <v>168435.84999999998</v>
      </c>
      <c r="M211" s="162">
        <v>21611.55</v>
      </c>
      <c r="N211" s="162">
        <v>1830.4799999999998</v>
      </c>
      <c r="O211" s="162">
        <v>3706.2799999999997</v>
      </c>
      <c r="P211" s="162">
        <v>3494.7599999999998</v>
      </c>
      <c r="Q211" s="162">
        <v>18278.510000000002</v>
      </c>
      <c r="R211" s="162">
        <v>16801.86</v>
      </c>
      <c r="S211" s="162">
        <v>16042.689999999999</v>
      </c>
      <c r="T211" s="162">
        <v>15255.129999999997</v>
      </c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9"/>
      <c r="AG211" s="163"/>
      <c r="AH211" s="169"/>
    </row>
    <row r="212" spans="1:34" s="164" customFormat="1" ht="51" x14ac:dyDescent="0.25">
      <c r="A212" s="158" t="s">
        <v>125</v>
      </c>
      <c r="B212" s="159" t="s">
        <v>66</v>
      </c>
      <c r="C212" s="160" t="s">
        <v>38</v>
      </c>
      <c r="D212" s="161" t="s">
        <v>186</v>
      </c>
      <c r="E212" s="162">
        <v>156910.97999999998</v>
      </c>
      <c r="F212" s="162">
        <v>124960.31</v>
      </c>
      <c r="G212" s="162">
        <v>0</v>
      </c>
      <c r="H212" s="162">
        <v>0</v>
      </c>
      <c r="I212" s="162">
        <v>0</v>
      </c>
      <c r="J212" s="162">
        <v>0</v>
      </c>
      <c r="K212" s="162">
        <v>93339.569999999992</v>
      </c>
      <c r="L212" s="162">
        <v>107754.81</v>
      </c>
      <c r="M212" s="162">
        <v>14445.470000000001</v>
      </c>
      <c r="N212" s="162">
        <v>640.88</v>
      </c>
      <c r="O212" s="162">
        <v>2685.71</v>
      </c>
      <c r="P212" s="162">
        <v>2374.4399999999996</v>
      </c>
      <c r="Q212" s="162">
        <v>13022.400000000001</v>
      </c>
      <c r="R212" s="162">
        <v>10426.61</v>
      </c>
      <c r="S212" s="162">
        <v>9745.83</v>
      </c>
      <c r="T212" s="162">
        <v>8737.31</v>
      </c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3"/>
      <c r="AG212" s="163"/>
    </row>
    <row r="213" spans="1:34" s="164" customFormat="1" ht="63.75" x14ac:dyDescent="0.25">
      <c r="A213" s="158" t="s">
        <v>126</v>
      </c>
      <c r="B213" s="159" t="s">
        <v>67</v>
      </c>
      <c r="C213" s="160" t="s">
        <v>38</v>
      </c>
      <c r="D213" s="161" t="s">
        <v>187</v>
      </c>
      <c r="E213" s="162">
        <v>0</v>
      </c>
      <c r="F213" s="162">
        <v>0</v>
      </c>
      <c r="G213" s="162">
        <v>0</v>
      </c>
      <c r="H213" s="162">
        <v>0</v>
      </c>
      <c r="I213" s="162">
        <v>0</v>
      </c>
      <c r="J213" s="162">
        <v>0</v>
      </c>
      <c r="K213" s="162">
        <v>0</v>
      </c>
      <c r="L213" s="162">
        <v>0</v>
      </c>
      <c r="M213" s="162">
        <v>0</v>
      </c>
      <c r="N213" s="162">
        <v>0</v>
      </c>
      <c r="O213" s="162">
        <v>0</v>
      </c>
      <c r="P213" s="162">
        <v>0</v>
      </c>
      <c r="Q213" s="162">
        <v>0</v>
      </c>
      <c r="R213" s="162">
        <v>0</v>
      </c>
      <c r="S213" s="162">
        <v>0</v>
      </c>
      <c r="T213" s="162">
        <v>0</v>
      </c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3"/>
      <c r="AG213" s="163"/>
    </row>
    <row r="214" spans="1:34" s="164" customFormat="1" ht="51" x14ac:dyDescent="0.25">
      <c r="A214" s="158" t="s">
        <v>127</v>
      </c>
      <c r="B214" s="159" t="s">
        <v>68</v>
      </c>
      <c r="C214" s="160" t="s">
        <v>38</v>
      </c>
      <c r="D214" s="161" t="s">
        <v>188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0</v>
      </c>
      <c r="N214" s="166">
        <v>0</v>
      </c>
      <c r="O214" s="166">
        <v>0</v>
      </c>
      <c r="P214" s="166">
        <v>0</v>
      </c>
      <c r="Q214" s="166">
        <v>0</v>
      </c>
      <c r="R214" s="166">
        <v>0</v>
      </c>
      <c r="S214" s="166">
        <v>0</v>
      </c>
      <c r="T214" s="166">
        <v>0</v>
      </c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3"/>
      <c r="AG214" s="163"/>
    </row>
    <row r="215" spans="1:34" s="1" customFormat="1" x14ac:dyDescent="0.25">
      <c r="A215" s="13" t="s">
        <v>189</v>
      </c>
      <c r="B215" s="11" t="s">
        <v>40</v>
      </c>
      <c r="C215" s="15" t="s">
        <v>4</v>
      </c>
      <c r="D215" s="33" t="s">
        <v>179</v>
      </c>
      <c r="E215" s="13" t="s">
        <v>199</v>
      </c>
      <c r="F215" s="13" t="s">
        <v>199</v>
      </c>
      <c r="G215" s="13" t="s">
        <v>199</v>
      </c>
      <c r="H215" s="13" t="s">
        <v>199</v>
      </c>
      <c r="I215" s="13" t="s">
        <v>199</v>
      </c>
      <c r="J215" s="13" t="s">
        <v>199</v>
      </c>
      <c r="K215" s="13" t="s">
        <v>199</v>
      </c>
      <c r="L215" s="13" t="s">
        <v>199</v>
      </c>
      <c r="M215" s="13" t="s">
        <v>199</v>
      </c>
      <c r="N215" s="13" t="s">
        <v>199</v>
      </c>
      <c r="O215" s="13" t="s">
        <v>199</v>
      </c>
      <c r="P215" s="13" t="s">
        <v>199</v>
      </c>
      <c r="Q215" s="13" t="s">
        <v>199</v>
      </c>
      <c r="R215" s="13" t="s">
        <v>199</v>
      </c>
      <c r="S215" s="13" t="s">
        <v>199</v>
      </c>
      <c r="T215" s="13" t="s">
        <v>199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79"/>
      <c r="AG215" s="79"/>
    </row>
    <row r="216" spans="1:34" s="1" customFormat="1" ht="25.5" x14ac:dyDescent="0.25">
      <c r="A216" s="9" t="s">
        <v>190</v>
      </c>
      <c r="B216" s="10" t="s">
        <v>2</v>
      </c>
      <c r="C216" s="15" t="s">
        <v>4</v>
      </c>
      <c r="D216" s="33" t="s">
        <v>180</v>
      </c>
      <c r="E216" s="9" t="s">
        <v>98</v>
      </c>
      <c r="F216" s="9" t="s">
        <v>98</v>
      </c>
      <c r="G216" s="9" t="s">
        <v>98</v>
      </c>
      <c r="H216" s="9" t="s">
        <v>98</v>
      </c>
      <c r="I216" s="9" t="s">
        <v>98</v>
      </c>
      <c r="J216" s="9" t="s">
        <v>98</v>
      </c>
      <c r="K216" s="9" t="s">
        <v>98</v>
      </c>
      <c r="L216" s="9" t="s">
        <v>98</v>
      </c>
      <c r="M216" s="9" t="s">
        <v>98</v>
      </c>
      <c r="N216" s="9" t="s">
        <v>98</v>
      </c>
      <c r="O216" s="9" t="s">
        <v>98</v>
      </c>
      <c r="P216" s="9" t="s">
        <v>98</v>
      </c>
      <c r="Q216" s="9" t="s">
        <v>98</v>
      </c>
      <c r="R216" s="9" t="s">
        <v>98</v>
      </c>
      <c r="S216" s="9" t="s">
        <v>98</v>
      </c>
      <c r="T216" s="9" t="s">
        <v>98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79"/>
      <c r="AG216" s="79"/>
    </row>
    <row r="217" spans="1:34" s="164" customFormat="1" ht="38.25" x14ac:dyDescent="0.25">
      <c r="A217" s="158" t="s">
        <v>191</v>
      </c>
      <c r="B217" s="165" t="s">
        <v>61</v>
      </c>
      <c r="C217" s="160" t="s">
        <v>224</v>
      </c>
      <c r="D217" s="161" t="s">
        <v>181</v>
      </c>
      <c r="E217" s="162">
        <v>17638.107623</v>
      </c>
      <c r="F217" s="162">
        <v>15005.765491999999</v>
      </c>
      <c r="G217" s="162">
        <v>0</v>
      </c>
      <c r="H217" s="162">
        <v>0</v>
      </c>
      <c r="I217" s="162">
        <v>0</v>
      </c>
      <c r="J217" s="162">
        <v>0</v>
      </c>
      <c r="K217" s="162">
        <v>11109.933936000001</v>
      </c>
      <c r="L217" s="162">
        <v>12614.580166</v>
      </c>
      <c r="M217" s="162">
        <v>1579.8199999999997</v>
      </c>
      <c r="N217" s="162">
        <v>79.2</v>
      </c>
      <c r="O217" s="162">
        <v>166.29999999999998</v>
      </c>
      <c r="P217" s="162">
        <v>215.00000000000003</v>
      </c>
      <c r="Q217" s="162">
        <v>1402.8999999999999</v>
      </c>
      <c r="R217" s="162">
        <v>1284.6100000000001</v>
      </c>
      <c r="S217" s="162">
        <v>1186.3516399999999</v>
      </c>
      <c r="T217" s="162">
        <v>1179.45</v>
      </c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7"/>
      <c r="AG217" s="163"/>
    </row>
    <row r="218" spans="1:34" s="1" customFormat="1" ht="25.5" x14ac:dyDescent="0.25">
      <c r="A218" s="9"/>
      <c r="B218" s="75" t="s">
        <v>44</v>
      </c>
      <c r="C218" s="15"/>
      <c r="D218" s="33"/>
      <c r="E218" s="72">
        <v>43488.69</v>
      </c>
      <c r="F218" s="72">
        <v>33265.83</v>
      </c>
      <c r="G218" s="72">
        <v>0</v>
      </c>
      <c r="H218" s="72">
        <v>0</v>
      </c>
      <c r="I218" s="72">
        <v>0</v>
      </c>
      <c r="J218" s="72">
        <v>0</v>
      </c>
      <c r="K218" s="72">
        <v>24468.55</v>
      </c>
      <c r="L218" s="72">
        <v>26843.26</v>
      </c>
      <c r="M218" s="72">
        <v>4197.03</v>
      </c>
      <c r="N218" s="72">
        <v>0</v>
      </c>
      <c r="O218" s="72">
        <v>524.63</v>
      </c>
      <c r="P218" s="72">
        <v>524.62</v>
      </c>
      <c r="Q218" s="72">
        <v>3663.18</v>
      </c>
      <c r="R218" s="72">
        <v>2623.12</v>
      </c>
      <c r="S218" s="72">
        <v>2107.71</v>
      </c>
      <c r="T218" s="72">
        <v>1923.62</v>
      </c>
      <c r="U218" s="72"/>
      <c r="V218" s="72"/>
      <c r="W218" s="72"/>
      <c r="X218" s="72"/>
      <c r="Y218" s="72"/>
      <c r="Z218" s="74"/>
      <c r="AA218" s="72"/>
      <c r="AB218" s="72"/>
      <c r="AC218" s="72"/>
      <c r="AD218" s="72"/>
      <c r="AE218" s="72"/>
      <c r="AF218" s="79"/>
      <c r="AG218" s="79"/>
    </row>
    <row r="219" spans="1:34" s="1" customFormat="1" ht="38.25" x14ac:dyDescent="0.25">
      <c r="A219" s="9" t="s">
        <v>192</v>
      </c>
      <c r="B219" s="137" t="s">
        <v>62</v>
      </c>
      <c r="C219" s="15" t="s">
        <v>38</v>
      </c>
      <c r="D219" s="33" t="s">
        <v>182</v>
      </c>
      <c r="E219" s="72">
        <f>193010.98+557.69*6+37128.14+39976.05+35000.7+31604.04+32358.55+35963.28</f>
        <v>408387.88</v>
      </c>
      <c r="F219" s="72">
        <f>154820.59+578.99*1+33135.44+578.92+37562.27+578.88+30411.14+578.95*3+30591.76+31955.38+31820.53</f>
        <v>353770.75</v>
      </c>
      <c r="G219" s="72">
        <f>8098.32+2501.45*4</f>
        <v>18104.12</v>
      </c>
      <c r="H219" s="72">
        <f>7434.92+2296.54*3+2296.52*2</f>
        <v>18917.580000000002</v>
      </c>
      <c r="I219" s="72">
        <f>610.66+188.64*4</f>
        <v>1365.2199999999998</v>
      </c>
      <c r="J219" s="72">
        <v>0</v>
      </c>
      <c r="K219" s="72">
        <f>114201.75+24891.59+22611.83+23458.15+22785.37+21722.83+23270.04</f>
        <v>252941.55999999997</v>
      </c>
      <c r="L219" s="72">
        <f>141610.91+22922.12+26938.5+31179.62+24344.11+22223.77+24887.59</f>
        <v>294106.62000000005</v>
      </c>
      <c r="M219" s="72">
        <f>17065.63+57.84*6+1532.32+4211.44+3869.84+2021.78+2997.78+3367.2</f>
        <v>35413.03</v>
      </c>
      <c r="N219" s="72">
        <f>322.08*6</f>
        <v>1932.48</v>
      </c>
      <c r="O219" s="72">
        <f>1328.65+322.08*6</f>
        <v>3261.13</v>
      </c>
      <c r="P219" s="72">
        <f>1632.39+741.76*2+185.44+556.32*3</f>
        <v>4970.3099999999995</v>
      </c>
      <c r="Q219" s="72">
        <f>15320.78+40.49*2+3357.44+2469.28+40.48*4+2708.4+2723.04+2625.44+2796.24</f>
        <v>32243.519999999997</v>
      </c>
      <c r="R219" s="72">
        <f>14210.98+40.21*6+1737.28+3367.2+3123.2+1527.69+3269.6+2952.4</f>
        <v>30429.61</v>
      </c>
      <c r="S219" s="72">
        <f>11359.62+41.86*6+3172+2332.64+2775.54+2801.12+2776.72+2684.12</f>
        <v>28152.920000000002</v>
      </c>
      <c r="T219" s="72">
        <f>11737.44+33.5*6+2781.6+2781.6*6</f>
        <v>31409.64</v>
      </c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9"/>
      <c r="AG219" s="79"/>
    </row>
    <row r="220" spans="1:34" s="1" customFormat="1" ht="38.25" x14ac:dyDescent="0.25">
      <c r="A220" s="9" t="s">
        <v>193</v>
      </c>
      <c r="B220" s="37" t="s">
        <v>63</v>
      </c>
      <c r="C220" s="15" t="s">
        <v>38</v>
      </c>
      <c r="D220" s="33" t="s">
        <v>183</v>
      </c>
      <c r="E220" s="30">
        <f>E218+E219-E221</f>
        <v>372659.16000000003</v>
      </c>
      <c r="F220" s="30">
        <f t="shared" ref="F220:T220" si="43">F218+F219-F221</f>
        <v>295150.41000000003</v>
      </c>
      <c r="G220" s="30">
        <f t="shared" ref="G220:J220" si="44">G218+G219-G221</f>
        <v>6181.9299999999985</v>
      </c>
      <c r="H220" s="30">
        <f t="shared" si="44"/>
        <v>18069.140000000003</v>
      </c>
      <c r="I220" s="30">
        <f t="shared" si="44"/>
        <v>943.26999999999975</v>
      </c>
      <c r="J220" s="30">
        <f t="shared" si="44"/>
        <v>0</v>
      </c>
      <c r="K220" s="30">
        <f t="shared" si="43"/>
        <v>210092.13999999998</v>
      </c>
      <c r="L220" s="30">
        <f t="shared" si="43"/>
        <v>246342.12000000005</v>
      </c>
      <c r="M220" s="30">
        <f t="shared" si="43"/>
        <v>36485.03</v>
      </c>
      <c r="N220" s="30">
        <f t="shared" si="43"/>
        <v>1288.3200000000002</v>
      </c>
      <c r="O220" s="30">
        <f t="shared" si="43"/>
        <v>3363.21</v>
      </c>
      <c r="P220" s="30">
        <f t="shared" si="43"/>
        <v>4567.7299999999996</v>
      </c>
      <c r="Q220" s="30">
        <f t="shared" si="43"/>
        <v>32908.539999999994</v>
      </c>
      <c r="R220" s="30">
        <f t="shared" si="43"/>
        <v>28376.590000000004</v>
      </c>
      <c r="S220" s="30">
        <f t="shared" si="43"/>
        <v>28150.82</v>
      </c>
      <c r="T220" s="30">
        <f t="shared" si="43"/>
        <v>27863.350000000002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79"/>
      <c r="AG220" s="79"/>
    </row>
    <row r="221" spans="1:34" s="1" customFormat="1" ht="38.25" x14ac:dyDescent="0.25">
      <c r="A221" s="9" t="s">
        <v>194</v>
      </c>
      <c r="B221" s="37" t="s">
        <v>64</v>
      </c>
      <c r="C221" s="15" t="s">
        <v>38</v>
      </c>
      <c r="D221" s="33" t="s">
        <v>184</v>
      </c>
      <c r="E221" s="74">
        <f>686.92-8.13+80915.4-2376.78</f>
        <v>79217.409999999989</v>
      </c>
      <c r="F221" s="72">
        <f>842.49-94.16+91245.4-107.56</f>
        <v>91886.17</v>
      </c>
      <c r="G221" s="72">
        <f>11922.2-0.01</f>
        <v>11922.19</v>
      </c>
      <c r="H221" s="72">
        <f>850.04-1.6</f>
        <v>848.43999999999994</v>
      </c>
      <c r="I221" s="72">
        <f>422-0.05</f>
        <v>421.95</v>
      </c>
      <c r="J221" s="72">
        <v>0</v>
      </c>
      <c r="K221" s="72">
        <f>67326.03-8.06</f>
        <v>67317.97</v>
      </c>
      <c r="L221" s="72">
        <f>75290.76-683</f>
        <v>74607.759999999995</v>
      </c>
      <c r="M221" s="72">
        <f>55.58+3069.45</f>
        <v>3125.0299999999997</v>
      </c>
      <c r="N221" s="72">
        <f>644.16</f>
        <v>644.16</v>
      </c>
      <c r="O221" s="72">
        <f>422.55</f>
        <v>422.55</v>
      </c>
      <c r="P221" s="72">
        <f>927.2</f>
        <v>927.2</v>
      </c>
      <c r="Q221" s="72">
        <f>38.51+2959.65</f>
        <v>2998.1600000000003</v>
      </c>
      <c r="R221" s="72">
        <f>49.73+4626.41</f>
        <v>4676.1399999999994</v>
      </c>
      <c r="S221" s="72">
        <f>33.85+2075.96</f>
        <v>2109.81</v>
      </c>
      <c r="T221" s="72">
        <f>64.96+5405.05-0.1</f>
        <v>5469.91</v>
      </c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9"/>
      <c r="AG221" s="79"/>
    </row>
    <row r="222" spans="1:34" s="164" customFormat="1" ht="51" x14ac:dyDescent="0.25">
      <c r="A222" s="158" t="s">
        <v>195</v>
      </c>
      <c r="B222" s="159" t="s">
        <v>65</v>
      </c>
      <c r="C222" s="160" t="s">
        <v>38</v>
      </c>
      <c r="D222" s="161" t="s">
        <v>185</v>
      </c>
      <c r="E222" s="162">
        <v>421386.77600000001</v>
      </c>
      <c r="F222" s="162">
        <v>359114.19</v>
      </c>
      <c r="G222" s="162">
        <v>0</v>
      </c>
      <c r="H222" s="162">
        <v>0</v>
      </c>
      <c r="I222" s="162">
        <v>0</v>
      </c>
      <c r="J222" s="162">
        <v>0</v>
      </c>
      <c r="K222" s="162">
        <v>265894.39999999997</v>
      </c>
      <c r="L222" s="162">
        <v>301408.84000000003</v>
      </c>
      <c r="M222" s="162">
        <v>37702.559999999998</v>
      </c>
      <c r="N222" s="162">
        <v>1932.1799999999998</v>
      </c>
      <c r="O222" s="162">
        <v>3970.3199999999988</v>
      </c>
      <c r="P222" s="162">
        <v>5167.26</v>
      </c>
      <c r="Q222" s="162">
        <v>33508.730000000003</v>
      </c>
      <c r="R222" s="162">
        <v>30712.07</v>
      </c>
      <c r="S222" s="162">
        <v>28435.870000000006</v>
      </c>
      <c r="T222" s="162">
        <v>28280.369999999995</v>
      </c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9"/>
      <c r="AG222" s="163"/>
      <c r="AH222" s="169"/>
    </row>
    <row r="223" spans="1:34" s="164" customFormat="1" ht="51" x14ac:dyDescent="0.25">
      <c r="A223" s="158" t="s">
        <v>196</v>
      </c>
      <c r="B223" s="159" t="s">
        <v>66</v>
      </c>
      <c r="C223" s="160" t="s">
        <v>38</v>
      </c>
      <c r="D223" s="161" t="s">
        <v>186</v>
      </c>
      <c r="E223" s="162">
        <v>293234.90999999997</v>
      </c>
      <c r="F223" s="162">
        <v>234626.55000000002</v>
      </c>
      <c r="G223" s="162">
        <v>0</v>
      </c>
      <c r="H223" s="162">
        <v>0</v>
      </c>
      <c r="I223" s="162">
        <v>0</v>
      </c>
      <c r="J223" s="162">
        <v>0</v>
      </c>
      <c r="K223" s="162">
        <v>173265.46999999997</v>
      </c>
      <c r="L223" s="162">
        <v>199393.67</v>
      </c>
      <c r="M223" s="162">
        <v>25870.43</v>
      </c>
      <c r="N223" s="162">
        <v>914.18</v>
      </c>
      <c r="O223" s="162">
        <v>3250.3100000000004</v>
      </c>
      <c r="P223" s="162">
        <v>3106.3700000000003</v>
      </c>
      <c r="Q223" s="162">
        <v>23920.989999999998</v>
      </c>
      <c r="R223" s="162">
        <v>19140.919999999998</v>
      </c>
      <c r="S223" s="162">
        <v>17379.350000000002</v>
      </c>
      <c r="T223" s="162">
        <v>16330.689999999999</v>
      </c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9"/>
      <c r="AG223" s="163"/>
      <c r="AH223" s="169"/>
    </row>
    <row r="224" spans="1:34" s="164" customFormat="1" ht="63.75" x14ac:dyDescent="0.25">
      <c r="A224" s="158" t="s">
        <v>197</v>
      </c>
      <c r="B224" s="159" t="s">
        <v>67</v>
      </c>
      <c r="C224" s="160" t="s">
        <v>38</v>
      </c>
      <c r="D224" s="161" t="s">
        <v>187</v>
      </c>
      <c r="E224" s="162">
        <v>0</v>
      </c>
      <c r="F224" s="162">
        <v>0</v>
      </c>
      <c r="G224" s="162">
        <v>0</v>
      </c>
      <c r="H224" s="162">
        <v>0</v>
      </c>
      <c r="I224" s="162">
        <v>0</v>
      </c>
      <c r="J224" s="162">
        <v>0</v>
      </c>
      <c r="K224" s="162">
        <v>0</v>
      </c>
      <c r="L224" s="162">
        <v>0</v>
      </c>
      <c r="M224" s="162">
        <v>0</v>
      </c>
      <c r="N224" s="162">
        <v>0</v>
      </c>
      <c r="O224" s="162">
        <v>0</v>
      </c>
      <c r="P224" s="162">
        <v>0</v>
      </c>
      <c r="Q224" s="162">
        <v>0</v>
      </c>
      <c r="R224" s="162">
        <v>0</v>
      </c>
      <c r="S224" s="162">
        <v>0</v>
      </c>
      <c r="T224" s="162">
        <v>0</v>
      </c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3"/>
      <c r="AG224" s="163"/>
    </row>
    <row r="225" spans="1:33" s="164" customFormat="1" ht="51" x14ac:dyDescent="0.25">
      <c r="A225" s="158" t="s">
        <v>198</v>
      </c>
      <c r="B225" s="159" t="s">
        <v>68</v>
      </c>
      <c r="C225" s="160" t="s">
        <v>38</v>
      </c>
      <c r="D225" s="161" t="s">
        <v>188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 s="166">
        <v>0</v>
      </c>
      <c r="Q225" s="166">
        <v>0</v>
      </c>
      <c r="R225" s="166">
        <v>0</v>
      </c>
      <c r="S225" s="166">
        <v>0</v>
      </c>
      <c r="T225" s="166">
        <v>0</v>
      </c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3"/>
      <c r="AG225" s="163"/>
    </row>
    <row r="226" spans="1:33" s="1" customFormat="1" ht="42" customHeight="1" x14ac:dyDescent="0.25">
      <c r="A226" s="213" t="s">
        <v>128</v>
      </c>
      <c r="B226" s="213"/>
      <c r="C226" s="213"/>
      <c r="D226" s="33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79"/>
      <c r="AG226" s="79"/>
    </row>
    <row r="227" spans="1:33" s="1" customFormat="1" ht="51" x14ac:dyDescent="0.25">
      <c r="A227" s="9" t="s">
        <v>69</v>
      </c>
      <c r="B227" s="42" t="s">
        <v>56</v>
      </c>
      <c r="C227" s="15" t="s">
        <v>29</v>
      </c>
      <c r="D227" s="33" t="s">
        <v>169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79"/>
      <c r="AG227" s="79"/>
    </row>
    <row r="228" spans="1:33" s="1" customFormat="1" ht="38.25" x14ac:dyDescent="0.25">
      <c r="A228" s="9" t="s">
        <v>70</v>
      </c>
      <c r="B228" s="42" t="s">
        <v>57</v>
      </c>
      <c r="C228" s="15" t="s">
        <v>29</v>
      </c>
      <c r="D228" s="33" t="s">
        <v>219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79"/>
      <c r="AG228" s="79"/>
    </row>
    <row r="229" spans="1:33" s="1" customFormat="1" ht="51" x14ac:dyDescent="0.25">
      <c r="A229" s="9" t="s">
        <v>71</v>
      </c>
      <c r="B229" s="42" t="s">
        <v>58</v>
      </c>
      <c r="C229" s="15" t="s">
        <v>29</v>
      </c>
      <c r="D229" s="33" t="s">
        <v>171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79"/>
      <c r="AG229" s="79"/>
    </row>
    <row r="230" spans="1:33" s="1" customFormat="1" ht="51" x14ac:dyDescent="0.25">
      <c r="A230" s="9" t="s">
        <v>72</v>
      </c>
      <c r="B230" s="42" t="s">
        <v>59</v>
      </c>
      <c r="C230" s="15" t="s">
        <v>38</v>
      </c>
      <c r="D230" s="33" t="s">
        <v>220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79"/>
      <c r="AG230" s="79"/>
    </row>
    <row r="231" spans="1:33" s="1" customFormat="1" ht="37.5" customHeight="1" x14ac:dyDescent="0.25">
      <c r="A231" s="213" t="s">
        <v>139</v>
      </c>
      <c r="B231" s="213"/>
      <c r="C231" s="213"/>
      <c r="D231" s="33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79"/>
      <c r="AG231" s="79"/>
    </row>
    <row r="232" spans="1:33" ht="51" x14ac:dyDescent="0.25">
      <c r="A232" s="9" t="s">
        <v>140</v>
      </c>
      <c r="B232" s="42" t="s">
        <v>141</v>
      </c>
      <c r="C232" s="24" t="s">
        <v>29</v>
      </c>
      <c r="D232" s="33" t="s">
        <v>221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</row>
    <row r="233" spans="1:33" ht="51" x14ac:dyDescent="0.25">
      <c r="A233" s="9" t="s">
        <v>142</v>
      </c>
      <c r="B233" s="42" t="s">
        <v>143</v>
      </c>
      <c r="C233" s="24" t="s">
        <v>29</v>
      </c>
      <c r="D233" s="33" t="s">
        <v>222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</row>
    <row r="234" spans="1:33" ht="38.25" x14ac:dyDescent="0.25">
      <c r="A234" s="17" t="s">
        <v>144</v>
      </c>
      <c r="B234" s="42" t="s">
        <v>145</v>
      </c>
      <c r="C234" s="24" t="s">
        <v>38</v>
      </c>
      <c r="D234" s="33" t="s">
        <v>223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A3:AH3" xr:uid="{00000000-0009-0000-0000-000000000000}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honeticPr fontId="29" type="noConversion"/>
  <pageMargins left="0.7" right="0.7" top="0.75" bottom="0.75" header="0.3" footer="0.3"/>
  <pageSetup paperSize="9" scale="10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27"/>
  <sheetViews>
    <sheetView workbookViewId="0">
      <selection activeCell="C47" sqref="C47"/>
    </sheetView>
  </sheetViews>
  <sheetFormatPr defaultRowHeight="15.75" x14ac:dyDescent="0.2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 x14ac:dyDescent="0.25">
      <c r="D1" t="s">
        <v>299</v>
      </c>
      <c r="E1" t="s">
        <v>300</v>
      </c>
      <c r="F1" t="s">
        <v>326</v>
      </c>
      <c r="G1" t="s">
        <v>300</v>
      </c>
    </row>
    <row r="2" spans="1:8" x14ac:dyDescent="0.25">
      <c r="D2" t="s">
        <v>297</v>
      </c>
      <c r="E2" s="45">
        <v>96932862.780000001</v>
      </c>
      <c r="F2" t="s">
        <v>297</v>
      </c>
      <c r="G2" s="45">
        <v>2300000</v>
      </c>
    </row>
    <row r="3" spans="1:8" x14ac:dyDescent="0.25">
      <c r="D3" t="s">
        <v>325</v>
      </c>
      <c r="E3" s="45">
        <v>36990217.759999998</v>
      </c>
      <c r="F3" t="s">
        <v>325</v>
      </c>
      <c r="G3" s="45">
        <v>6542977.7599999998</v>
      </c>
    </row>
    <row r="4" spans="1:8" x14ac:dyDescent="0.25">
      <c r="D4" t="s">
        <v>298</v>
      </c>
      <c r="E4" s="45">
        <v>155185852.05000001</v>
      </c>
      <c r="F4" t="s">
        <v>298</v>
      </c>
      <c r="G4" s="45">
        <v>50629680.200000003</v>
      </c>
    </row>
    <row r="6" spans="1:8" ht="16.5" thickBot="1" x14ac:dyDescent="0.3">
      <c r="C6" s="225" t="s">
        <v>299</v>
      </c>
      <c r="D6" s="225"/>
      <c r="E6" s="225"/>
      <c r="F6" s="228" t="s">
        <v>327</v>
      </c>
      <c r="G6" s="228"/>
      <c r="H6" s="228"/>
    </row>
    <row r="7" spans="1:8" x14ac:dyDescent="0.25">
      <c r="B7" t="s">
        <v>324</v>
      </c>
      <c r="C7" s="56" t="s">
        <v>297</v>
      </c>
      <c r="D7" s="57" t="str">
        <f>D3</f>
        <v>Водоканал</v>
      </c>
      <c r="E7" s="58" t="str">
        <f>D4</f>
        <v>Котельной</v>
      </c>
      <c r="F7" s="56" t="s">
        <v>297</v>
      </c>
      <c r="G7" s="57" t="s">
        <v>325</v>
      </c>
      <c r="H7" s="59" t="s">
        <v>298</v>
      </c>
    </row>
    <row r="8" spans="1:8" x14ac:dyDescent="0.25">
      <c r="A8" t="s">
        <v>323</v>
      </c>
      <c r="B8">
        <v>10772.2</v>
      </c>
      <c r="C8" s="49">
        <f t="shared" ref="C8:C30" si="0">$E$2/$B$31*$B8</f>
        <v>2061917.9210739951</v>
      </c>
      <c r="D8" s="48">
        <f t="shared" ref="D8:D30" si="1">$E$3/$B$31*$B8</f>
        <v>786841.43557050079</v>
      </c>
      <c r="E8" s="54">
        <f t="shared" ref="E8:E30" si="2">$E$4/$B$31*$B8</f>
        <v>3301052.7107330384</v>
      </c>
      <c r="F8" s="49">
        <f t="shared" ref="F8:F30" si="3">$G$2/$B$31*$B8</f>
        <v>48924.699864004047</v>
      </c>
      <c r="G8" s="48">
        <f t="shared" ref="G8:G30" si="4">$G$3/$B$31*$B8</f>
        <v>139179.66222819715</v>
      </c>
      <c r="H8" s="50">
        <f t="shared" ref="H8:H30" si="5">$G$4/$B$31*$B8</f>
        <v>1076974.7426067428</v>
      </c>
    </row>
    <row r="9" spans="1:8" x14ac:dyDescent="0.25">
      <c r="A9" t="s">
        <v>301</v>
      </c>
      <c r="B9">
        <v>40145.300000000003</v>
      </c>
      <c r="C9" s="49">
        <f t="shared" si="0"/>
        <v>7684253.3110127784</v>
      </c>
      <c r="D9" s="48">
        <f t="shared" si="1"/>
        <v>2932361.5866218996</v>
      </c>
      <c r="E9" s="54">
        <f t="shared" si="2"/>
        <v>12302199.30823704</v>
      </c>
      <c r="F9" s="49">
        <f t="shared" si="3"/>
        <v>182330.14179558508</v>
      </c>
      <c r="G9" s="48">
        <f t="shared" si="4"/>
        <v>518687.85336789547</v>
      </c>
      <c r="H9" s="50">
        <f t="shared" si="5"/>
        <v>4013615.9869265771</v>
      </c>
    </row>
    <row r="10" spans="1:8" x14ac:dyDescent="0.25">
      <c r="A10" t="s">
        <v>302</v>
      </c>
      <c r="B10">
        <v>3212.2</v>
      </c>
      <c r="C10" s="49">
        <f t="shared" si="0"/>
        <v>614850.51763556991</v>
      </c>
      <c r="D10" s="48">
        <f t="shared" si="1"/>
        <v>234631.00010578733</v>
      </c>
      <c r="E10" s="54">
        <f t="shared" si="2"/>
        <v>984352.45515462616</v>
      </c>
      <c r="F10" s="49">
        <f t="shared" si="3"/>
        <v>14589.027394882547</v>
      </c>
      <c r="G10" s="48">
        <f t="shared" si="4"/>
        <v>41502.47034119445</v>
      </c>
      <c r="H10" s="50">
        <f t="shared" si="5"/>
        <v>321146.86583997501</v>
      </c>
    </row>
    <row r="11" spans="1:8" x14ac:dyDescent="0.25">
      <c r="A11" t="s">
        <v>303</v>
      </c>
      <c r="B11">
        <v>11546.8</v>
      </c>
      <c r="C11" s="49">
        <f t="shared" si="0"/>
        <v>2210184.906616773</v>
      </c>
      <c r="D11" s="48">
        <f t="shared" si="1"/>
        <v>843421.09209311544</v>
      </c>
      <c r="E11" s="54">
        <f t="shared" si="2"/>
        <v>3538422.5543800006</v>
      </c>
      <c r="F11" s="49">
        <f t="shared" si="3"/>
        <v>52442.743765403706</v>
      </c>
      <c r="G11" s="48">
        <f t="shared" si="4"/>
        <v>149187.69831757178</v>
      </c>
      <c r="H11" s="50">
        <f t="shared" si="5"/>
        <v>1154417.1068056233</v>
      </c>
    </row>
    <row r="12" spans="1:8" x14ac:dyDescent="0.25">
      <c r="A12" t="s">
        <v>304</v>
      </c>
      <c r="B12">
        <v>17333.300000000003</v>
      </c>
      <c r="C12" s="49">
        <f t="shared" si="0"/>
        <v>3317784.8444469916</v>
      </c>
      <c r="D12" s="48">
        <f t="shared" si="1"/>
        <v>1266088.5107196453</v>
      </c>
      <c r="E12" s="54">
        <f t="shared" si="2"/>
        <v>5311648.2195790065</v>
      </c>
      <c r="F12" s="49">
        <f t="shared" si="3"/>
        <v>78723.61264669626</v>
      </c>
      <c r="G12" s="48">
        <f t="shared" si="4"/>
        <v>223950.80292790796</v>
      </c>
      <c r="H12" s="50">
        <f t="shared" si="5"/>
        <v>1732935.3619525684</v>
      </c>
    </row>
    <row r="13" spans="1:8" x14ac:dyDescent="0.25">
      <c r="A13" t="s">
        <v>305</v>
      </c>
      <c r="B13">
        <v>23254.100000000002</v>
      </c>
      <c r="C13" s="49">
        <f t="shared" si="0"/>
        <v>4451091.2839017827</v>
      </c>
      <c r="D13" s="48">
        <f t="shared" si="1"/>
        <v>1698565.6993835969</v>
      </c>
      <c r="E13" s="54">
        <f t="shared" si="2"/>
        <v>7126029.0229161307</v>
      </c>
      <c r="F13" s="49">
        <f t="shared" si="3"/>
        <v>105614.43930743363</v>
      </c>
      <c r="G13" s="48">
        <f t="shared" si="4"/>
        <v>300449.09892322082</v>
      </c>
      <c r="H13" s="50">
        <f t="shared" si="5"/>
        <v>2324880.5594076845</v>
      </c>
    </row>
    <row r="14" spans="1:8" x14ac:dyDescent="0.25">
      <c r="A14" t="s">
        <v>306</v>
      </c>
      <c r="B14">
        <v>37574</v>
      </c>
      <c r="C14" s="49">
        <f t="shared" si="0"/>
        <v>7192078.1239147326</v>
      </c>
      <c r="D14" s="48">
        <f t="shared" si="1"/>
        <v>2744544.2992263413</v>
      </c>
      <c r="E14" s="54">
        <f t="shared" si="2"/>
        <v>11514245.423690906</v>
      </c>
      <c r="F14" s="49">
        <f t="shared" si="3"/>
        <v>170651.92557602792</v>
      </c>
      <c r="G14" s="48">
        <f t="shared" si="4"/>
        <v>485465.97988918511</v>
      </c>
      <c r="H14" s="50">
        <f t="shared" si="5"/>
        <v>3756544.5293167369</v>
      </c>
    </row>
    <row r="15" spans="1:8" x14ac:dyDescent="0.25">
      <c r="A15" t="s">
        <v>307</v>
      </c>
      <c r="B15">
        <v>53986.3</v>
      </c>
      <c r="C15" s="49">
        <f t="shared" si="0"/>
        <v>10333573.407704741</v>
      </c>
      <c r="D15" s="48">
        <f t="shared" si="1"/>
        <v>3943359.5545143727</v>
      </c>
      <c r="E15" s="54">
        <f t="shared" si="2"/>
        <v>16543660.715308573</v>
      </c>
      <c r="F15" s="49">
        <f t="shared" si="3"/>
        <v>245192.58129890659</v>
      </c>
      <c r="G15" s="48">
        <f t="shared" si="4"/>
        <v>697517.22015466855</v>
      </c>
      <c r="H15" s="50">
        <f t="shared" si="5"/>
        <v>5397400.8602504963</v>
      </c>
    </row>
    <row r="16" spans="1:8" x14ac:dyDescent="0.25">
      <c r="A16" t="s">
        <v>308</v>
      </c>
      <c r="B16">
        <v>37512.300000000003</v>
      </c>
      <c r="C16" s="49">
        <f t="shared" si="0"/>
        <v>7180268.0632279404</v>
      </c>
      <c r="D16" s="48">
        <f t="shared" si="1"/>
        <v>2740037.5024183821</v>
      </c>
      <c r="E16" s="54">
        <f t="shared" si="2"/>
        <v>11495337.962610325</v>
      </c>
      <c r="F16" s="49">
        <f t="shared" si="3"/>
        <v>170371.69925442146</v>
      </c>
      <c r="G16" s="48">
        <f t="shared" si="4"/>
        <v>484668.79963264702</v>
      </c>
      <c r="H16" s="50">
        <f t="shared" si="5"/>
        <v>3750375.9340791032</v>
      </c>
    </row>
    <row r="17" spans="1:8" x14ac:dyDescent="0.25">
      <c r="A17" t="s">
        <v>309</v>
      </c>
      <c r="B17">
        <v>59513</v>
      </c>
      <c r="C17" s="49">
        <f t="shared" si="0"/>
        <v>11391444.759369178</v>
      </c>
      <c r="D17" s="48">
        <f t="shared" si="1"/>
        <v>4347050.2176999319</v>
      </c>
      <c r="E17" s="54">
        <f t="shared" si="2"/>
        <v>18237272.792359527</v>
      </c>
      <c r="F17" s="49">
        <f t="shared" si="3"/>
        <v>270293.50207074435</v>
      </c>
      <c r="G17" s="48">
        <f t="shared" si="4"/>
        <v>768923.64031364967</v>
      </c>
      <c r="H17" s="50">
        <f t="shared" si="5"/>
        <v>5949945.0304260114</v>
      </c>
    </row>
    <row r="18" spans="1:8" x14ac:dyDescent="0.25">
      <c r="A18" t="s">
        <v>310</v>
      </c>
      <c r="B18">
        <v>34585</v>
      </c>
      <c r="C18" s="49">
        <f t="shared" si="0"/>
        <v>6619950.5486663925</v>
      </c>
      <c r="D18" s="48">
        <f t="shared" si="1"/>
        <v>2526216.6548342742</v>
      </c>
      <c r="E18" s="54">
        <f t="shared" si="2"/>
        <v>10598290.785605736</v>
      </c>
      <c r="F18" s="49">
        <f t="shared" si="3"/>
        <v>157076.61803499563</v>
      </c>
      <c r="G18" s="48">
        <f t="shared" si="4"/>
        <v>446847.31235608313</v>
      </c>
      <c r="H18" s="50">
        <f t="shared" si="5"/>
        <v>3457712.5817432092</v>
      </c>
    </row>
    <row r="19" spans="1:8" x14ac:dyDescent="0.25">
      <c r="A19" t="s">
        <v>311</v>
      </c>
      <c r="B19">
        <v>11544.5</v>
      </c>
      <c r="C19" s="49">
        <f t="shared" si="0"/>
        <v>2209744.6612427114</v>
      </c>
      <c r="D19" s="48">
        <f t="shared" si="1"/>
        <v>843253.09156380745</v>
      </c>
      <c r="E19" s="54">
        <f t="shared" si="2"/>
        <v>3537717.7381646791</v>
      </c>
      <c r="F19" s="49">
        <f t="shared" si="3"/>
        <v>52432.297727483208</v>
      </c>
      <c r="G19" s="48">
        <f t="shared" si="4"/>
        <v>149157.98171157442</v>
      </c>
      <c r="H19" s="50">
        <f t="shared" si="5"/>
        <v>1154187.1591711573</v>
      </c>
    </row>
    <row r="20" spans="1:8" x14ac:dyDescent="0.25">
      <c r="A20" t="s">
        <v>312</v>
      </c>
      <c r="B20">
        <v>11533.800000000001</v>
      </c>
      <c r="C20" s="49">
        <f t="shared" si="0"/>
        <v>2207696.5631981622</v>
      </c>
      <c r="D20" s="48">
        <f t="shared" si="1"/>
        <v>842471.52388398303</v>
      </c>
      <c r="E20" s="54">
        <f t="shared" si="2"/>
        <v>3534438.8105542711</v>
      </c>
      <c r="F20" s="49">
        <f t="shared" si="3"/>
        <v>52383.700942374802</v>
      </c>
      <c r="G20" s="48">
        <f t="shared" si="4"/>
        <v>149019.73489236928</v>
      </c>
      <c r="H20" s="50">
        <f t="shared" si="5"/>
        <v>1153117.4027847282</v>
      </c>
    </row>
    <row r="21" spans="1:8" x14ac:dyDescent="0.25">
      <c r="A21" t="s">
        <v>313</v>
      </c>
      <c r="B21">
        <v>10560.6</v>
      </c>
      <c r="C21" s="49">
        <f t="shared" si="0"/>
        <v>2021415.346660295</v>
      </c>
      <c r="D21" s="48">
        <f t="shared" si="1"/>
        <v>771385.38687416038</v>
      </c>
      <c r="E21" s="54">
        <f t="shared" si="2"/>
        <v>3236209.6189234625</v>
      </c>
      <c r="F21" s="49">
        <f t="shared" si="3"/>
        <v>47963.664375318047</v>
      </c>
      <c r="G21" s="48">
        <f t="shared" si="4"/>
        <v>136445.73447643925</v>
      </c>
      <c r="H21" s="50">
        <f t="shared" si="5"/>
        <v>1055819.5602358633</v>
      </c>
    </row>
    <row r="22" spans="1:8" x14ac:dyDescent="0.25">
      <c r="A22" t="s">
        <v>314</v>
      </c>
      <c r="B22">
        <v>44820.4</v>
      </c>
      <c r="C22" s="49">
        <f t="shared" si="0"/>
        <v>8579119.0276549719</v>
      </c>
      <c r="D22" s="48">
        <f t="shared" si="1"/>
        <v>3273848.2277384447</v>
      </c>
      <c r="E22" s="54">
        <f t="shared" si="2"/>
        <v>13734845.520519398</v>
      </c>
      <c r="F22" s="49">
        <f t="shared" si="3"/>
        <v>203563.30348346732</v>
      </c>
      <c r="G22" s="48">
        <f t="shared" si="4"/>
        <v>579091.37714976398</v>
      </c>
      <c r="H22" s="50">
        <f t="shared" si="5"/>
        <v>4481019.5460102167</v>
      </c>
    </row>
    <row r="23" spans="1:8" x14ac:dyDescent="0.25">
      <c r="A23" t="s">
        <v>315</v>
      </c>
      <c r="B23">
        <v>12394.6</v>
      </c>
      <c r="C23" s="49">
        <f t="shared" si="0"/>
        <v>2372463.1797166537</v>
      </c>
      <c r="D23" s="48">
        <f t="shared" si="1"/>
        <v>905347.54807022971</v>
      </c>
      <c r="E23" s="54">
        <f t="shared" si="2"/>
        <v>3798223.9401841513</v>
      </c>
      <c r="F23" s="49">
        <f t="shared" si="3"/>
        <v>56293.244178012334</v>
      </c>
      <c r="G23" s="48">
        <f t="shared" si="4"/>
        <v>160141.49769347138</v>
      </c>
      <c r="H23" s="50">
        <f t="shared" si="5"/>
        <v>1239177.8044144681</v>
      </c>
    </row>
    <row r="24" spans="1:8" x14ac:dyDescent="0.25">
      <c r="A24" t="s">
        <v>316</v>
      </c>
      <c r="B24">
        <v>13116</v>
      </c>
      <c r="C24" s="49">
        <f t="shared" si="0"/>
        <v>2510547.098346347</v>
      </c>
      <c r="D24" s="48">
        <f t="shared" si="1"/>
        <v>958041.27930624085</v>
      </c>
      <c r="E24" s="54">
        <f t="shared" si="2"/>
        <v>4019291.0783288954</v>
      </c>
      <c r="F24" s="49">
        <f t="shared" si="3"/>
        <v>59569.666680555223</v>
      </c>
      <c r="G24" s="48">
        <f t="shared" si="4"/>
        <v>169462.17576586342</v>
      </c>
      <c r="H24" s="50">
        <f t="shared" si="5"/>
        <v>1311301.3798509161</v>
      </c>
    </row>
    <row r="25" spans="1:8" x14ac:dyDescent="0.25">
      <c r="A25" t="s">
        <v>317</v>
      </c>
      <c r="B25">
        <v>4547.7</v>
      </c>
      <c r="C25" s="49">
        <f t="shared" si="0"/>
        <v>870479.95113980491</v>
      </c>
      <c r="D25" s="48">
        <f t="shared" si="1"/>
        <v>332180.87266704725</v>
      </c>
      <c r="E25" s="54">
        <f t="shared" si="2"/>
        <v>1393605.522790204</v>
      </c>
      <c r="F25" s="49">
        <f t="shared" si="3"/>
        <v>20654.542022198915</v>
      </c>
      <c r="G25" s="48">
        <f t="shared" si="4"/>
        <v>58757.482214883879</v>
      </c>
      <c r="H25" s="50">
        <f t="shared" si="5"/>
        <v>454666.45967886632</v>
      </c>
    </row>
    <row r="26" spans="1:8" x14ac:dyDescent="0.25">
      <c r="A26" t="s">
        <v>318</v>
      </c>
      <c r="B26">
        <v>15289.2</v>
      </c>
      <c r="C26" s="49">
        <f t="shared" si="0"/>
        <v>2926521.5535252336</v>
      </c>
      <c r="D26" s="48">
        <f t="shared" si="1"/>
        <v>1116779.8663898276</v>
      </c>
      <c r="E26" s="54">
        <f t="shared" si="2"/>
        <v>4685250.4692578642</v>
      </c>
      <c r="F26" s="49">
        <f t="shared" si="3"/>
        <v>69439.809988742374</v>
      </c>
      <c r="G26" s="48">
        <f t="shared" si="4"/>
        <v>197540.49235433355</v>
      </c>
      <c r="H26" s="50">
        <f t="shared" si="5"/>
        <v>1528571.9012516488</v>
      </c>
    </row>
    <row r="27" spans="1:8" x14ac:dyDescent="0.25">
      <c r="A27" t="s">
        <v>319</v>
      </c>
      <c r="B27">
        <v>7320.7</v>
      </c>
      <c r="C27" s="49">
        <f t="shared" si="0"/>
        <v>1401262.7434327616</v>
      </c>
      <c r="D27" s="48">
        <f t="shared" si="1"/>
        <v>534731.0760458369</v>
      </c>
      <c r="E27" s="54">
        <f t="shared" si="2"/>
        <v>2243368.7250017035</v>
      </c>
      <c r="F27" s="49">
        <f t="shared" si="3"/>
        <v>33248.830349827738</v>
      </c>
      <c r="G27" s="48">
        <f t="shared" si="4"/>
        <v>94585.372836928655</v>
      </c>
      <c r="H27" s="50">
        <f t="shared" si="5"/>
        <v>731903.32505905768</v>
      </c>
    </row>
    <row r="28" spans="1:8" x14ac:dyDescent="0.25">
      <c r="A28" t="s">
        <v>320</v>
      </c>
      <c r="B28">
        <v>21577.600000000002</v>
      </c>
      <c r="C28" s="49">
        <f t="shared" si="0"/>
        <v>4130190.6884170584</v>
      </c>
      <c r="D28" s="48">
        <f t="shared" si="1"/>
        <v>1576107.9222597091</v>
      </c>
      <c r="E28" s="54">
        <f t="shared" si="2"/>
        <v>6612279.2903133258</v>
      </c>
      <c r="F28" s="49">
        <f t="shared" si="3"/>
        <v>98000.186014512699</v>
      </c>
      <c r="G28" s="48">
        <f t="shared" si="4"/>
        <v>278788.27720383462</v>
      </c>
      <c r="H28" s="50">
        <f t="shared" si="5"/>
        <v>2157268.7293283874</v>
      </c>
    </row>
    <row r="29" spans="1:8" x14ac:dyDescent="0.25">
      <c r="A29" t="s">
        <v>321</v>
      </c>
      <c r="B29">
        <v>17021.400000000001</v>
      </c>
      <c r="C29" s="49">
        <f t="shared" si="0"/>
        <v>3258083.7435035459</v>
      </c>
      <c r="D29" s="48">
        <f t="shared" si="1"/>
        <v>1243306.1780713061</v>
      </c>
      <c r="E29" s="54">
        <f t="shared" si="2"/>
        <v>5216069.0119447596</v>
      </c>
      <c r="F29" s="49">
        <f t="shared" si="3"/>
        <v>77307.039069564111</v>
      </c>
      <c r="G29" s="48">
        <f t="shared" si="4"/>
        <v>219920.97274939521</v>
      </c>
      <c r="H29" s="50">
        <f t="shared" si="5"/>
        <v>1701752.4631743201</v>
      </c>
    </row>
    <row r="30" spans="1:8" x14ac:dyDescent="0.25">
      <c r="A30" t="s">
        <v>322</v>
      </c>
      <c r="B30">
        <v>7251.1</v>
      </c>
      <c r="C30" s="49">
        <f t="shared" si="0"/>
        <v>1387940.5355915825</v>
      </c>
      <c r="D30" s="48">
        <f t="shared" si="1"/>
        <v>529647.23394155863</v>
      </c>
      <c r="E30" s="54">
        <f t="shared" si="2"/>
        <v>2222040.3734424105</v>
      </c>
      <c r="F30" s="49">
        <f t="shared" si="3"/>
        <v>32932.724158842182</v>
      </c>
      <c r="G30" s="48">
        <f t="shared" si="4"/>
        <v>93686.122498921337</v>
      </c>
      <c r="H30" s="50">
        <f t="shared" si="5"/>
        <v>724944.90968564944</v>
      </c>
    </row>
    <row r="31" spans="1:8" ht="16.5" thickBot="1" x14ac:dyDescent="0.3">
      <c r="B31" s="46">
        <f>SUM(B8:B30)</f>
        <v>506412.1</v>
      </c>
      <c r="C31" s="51">
        <f>SUM(C8:C30)</f>
        <v>96932862.780000016</v>
      </c>
      <c r="D31" s="52">
        <f t="shared" ref="D31:H31" si="6">SUM(D8:D30)</f>
        <v>36990217.75999999</v>
      </c>
      <c r="E31" s="55">
        <f t="shared" si="6"/>
        <v>155185852.05000001</v>
      </c>
      <c r="F31" s="51">
        <f t="shared" si="6"/>
        <v>2299999.9999999995</v>
      </c>
      <c r="G31" s="52">
        <f t="shared" si="6"/>
        <v>6542977.7600000016</v>
      </c>
      <c r="H31" s="53">
        <f t="shared" si="6"/>
        <v>50629680.20000001</v>
      </c>
    </row>
    <row r="32" spans="1:8" x14ac:dyDescent="0.25">
      <c r="C32" s="47" t="b">
        <f>E2=C31</f>
        <v>1</v>
      </c>
      <c r="D32" s="47" t="b">
        <f>E3=D31</f>
        <v>1</v>
      </c>
      <c r="E32" s="47" t="b">
        <f>E4=E31</f>
        <v>1</v>
      </c>
      <c r="F32" s="47" t="b">
        <f>G2=F31</f>
        <v>1</v>
      </c>
      <c r="G32" t="b">
        <f>G3=G31</f>
        <v>1</v>
      </c>
      <c r="H32" t="b">
        <f>G4=H31</f>
        <v>1</v>
      </c>
    </row>
    <row r="34" spans="3:26" x14ac:dyDescent="0.25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 x14ac:dyDescent="0.25">
      <c r="C35">
        <v>4013615.9869265771</v>
      </c>
    </row>
    <row r="36" spans="3:26" x14ac:dyDescent="0.25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 x14ac:dyDescent="0.25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 x14ac:dyDescent="0.25">
      <c r="C38">
        <v>1732935.3619525684</v>
      </c>
    </row>
    <row r="39" spans="3:26" x14ac:dyDescent="0.25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 x14ac:dyDescent="0.25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 x14ac:dyDescent="0.25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 x14ac:dyDescent="0.25">
      <c r="C42">
        <v>3750375.9340791032</v>
      </c>
    </row>
    <row r="43" spans="3:26" x14ac:dyDescent="0.25">
      <c r="C43">
        <v>5949945.0304260114</v>
      </c>
    </row>
    <row r="44" spans="3:26" x14ac:dyDescent="0.25">
      <c r="C44">
        <v>3457712.5817432092</v>
      </c>
    </row>
    <row r="45" spans="3:26" x14ac:dyDescent="0.25">
      <c r="C45">
        <v>1154187.1591711573</v>
      </c>
    </row>
    <row r="46" spans="3:26" x14ac:dyDescent="0.25">
      <c r="C46">
        <v>1153117.4027847282</v>
      </c>
    </row>
    <row r="47" spans="3:26" x14ac:dyDescent="0.25">
      <c r="C47">
        <v>1055819.5602358633</v>
      </c>
    </row>
    <row r="48" spans="3:26" x14ac:dyDescent="0.25">
      <c r="C48">
        <v>4481019.5460102167</v>
      </c>
    </row>
    <row r="49" spans="1:9" x14ac:dyDescent="0.25">
      <c r="C49">
        <v>1239177.8044144681</v>
      </c>
    </row>
    <row r="50" spans="1:9" x14ac:dyDescent="0.25">
      <c r="C50">
        <v>1311301.3798509161</v>
      </c>
    </row>
    <row r="51" spans="1:9" x14ac:dyDescent="0.25">
      <c r="C51">
        <v>454666.45967886632</v>
      </c>
    </row>
    <row r="52" spans="1:9" x14ac:dyDescent="0.25">
      <c r="C52">
        <v>1528571.9012516488</v>
      </c>
    </row>
    <row r="53" spans="1:9" x14ac:dyDescent="0.25">
      <c r="C53">
        <v>731903.32505905768</v>
      </c>
    </row>
    <row r="54" spans="1:9" x14ac:dyDescent="0.25">
      <c r="C54">
        <v>2157268.7293283874</v>
      </c>
    </row>
    <row r="55" spans="1:9" x14ac:dyDescent="0.25">
      <c r="C55">
        <v>1701752.4631743201</v>
      </c>
    </row>
    <row r="56" spans="1:9" x14ac:dyDescent="0.25">
      <c r="C56">
        <v>724944.90968564944</v>
      </c>
    </row>
    <row r="59" spans="1:9" x14ac:dyDescent="0.25">
      <c r="A59" s="60" t="s">
        <v>328</v>
      </c>
      <c r="B59" s="61"/>
      <c r="C59" s="61"/>
      <c r="D59" s="62">
        <v>39967997.509999998</v>
      </c>
      <c r="F59" s="60" t="s">
        <v>328</v>
      </c>
      <c r="G59" s="61"/>
      <c r="H59" s="61"/>
      <c r="I59" s="62">
        <v>39967997.509999998</v>
      </c>
    </row>
    <row r="60" spans="1:9" x14ac:dyDescent="0.25">
      <c r="A60" s="63" t="s">
        <v>329</v>
      </c>
      <c r="B60" s="64"/>
      <c r="C60" s="64"/>
      <c r="D60" s="65">
        <v>1070276.3</v>
      </c>
      <c r="F60" s="70" t="s">
        <v>329</v>
      </c>
      <c r="G60" s="67"/>
      <c r="H60" s="67"/>
      <c r="I60" s="45">
        <v>1070276.3</v>
      </c>
    </row>
    <row r="61" spans="1:9" x14ac:dyDescent="0.25">
      <c r="A61" s="66" t="s">
        <v>330</v>
      </c>
      <c r="B61" s="67"/>
      <c r="C61" s="67"/>
      <c r="D61" s="45">
        <v>223030.51</v>
      </c>
      <c r="F61" s="70" t="s">
        <v>301</v>
      </c>
      <c r="G61" s="67"/>
      <c r="H61" s="67"/>
      <c r="I61" s="45">
        <v>5219918.99</v>
      </c>
    </row>
    <row r="62" spans="1:9" x14ac:dyDescent="0.25">
      <c r="A62" s="66" t="s">
        <v>331</v>
      </c>
      <c r="B62" s="67"/>
      <c r="C62" s="67"/>
      <c r="D62" s="45">
        <v>74340.34</v>
      </c>
      <c r="F62" s="70" t="s">
        <v>302</v>
      </c>
      <c r="G62" s="67"/>
      <c r="H62" s="67"/>
      <c r="I62" s="45">
        <v>439835.26</v>
      </c>
    </row>
    <row r="63" spans="1:9" x14ac:dyDescent="0.25">
      <c r="A63" s="66" t="s">
        <v>332</v>
      </c>
      <c r="B63" s="67"/>
      <c r="C63" s="67"/>
      <c r="D63" s="45">
        <v>74711.87</v>
      </c>
      <c r="F63" s="70" t="s">
        <v>303</v>
      </c>
      <c r="G63" s="67"/>
      <c r="H63" s="67"/>
      <c r="I63" s="45">
        <v>443942.77</v>
      </c>
    </row>
    <row r="64" spans="1:9" x14ac:dyDescent="0.25">
      <c r="A64" s="66" t="s">
        <v>333</v>
      </c>
      <c r="B64" s="67"/>
      <c r="C64" s="67"/>
      <c r="D64" s="45">
        <v>124412.21</v>
      </c>
      <c r="F64" s="70" t="s">
        <v>304</v>
      </c>
      <c r="G64" s="67"/>
      <c r="H64" s="67"/>
      <c r="I64" s="45">
        <v>686675.66</v>
      </c>
    </row>
    <row r="65" spans="1:9" x14ac:dyDescent="0.25">
      <c r="A65" s="66" t="s">
        <v>334</v>
      </c>
      <c r="B65" s="67"/>
      <c r="C65" s="67"/>
      <c r="D65" s="45">
        <v>202771.64</v>
      </c>
      <c r="F65" s="70" t="s">
        <v>339</v>
      </c>
      <c r="G65" s="67"/>
      <c r="H65" s="67"/>
      <c r="I65" s="45">
        <v>3210902.55</v>
      </c>
    </row>
    <row r="66" spans="1:9" x14ac:dyDescent="0.25">
      <c r="A66" s="66" t="s">
        <v>335</v>
      </c>
      <c r="B66" s="67"/>
      <c r="C66" s="67"/>
      <c r="D66" s="45">
        <v>148628.81</v>
      </c>
      <c r="F66" s="70" t="s">
        <v>340</v>
      </c>
      <c r="G66" s="67"/>
      <c r="H66" s="67"/>
      <c r="I66" s="45">
        <v>2408084.86</v>
      </c>
    </row>
    <row r="67" spans="1:9" x14ac:dyDescent="0.25">
      <c r="A67" s="66" t="s">
        <v>336</v>
      </c>
      <c r="B67" s="67"/>
      <c r="C67" s="67"/>
      <c r="D67" s="45">
        <v>113560.68</v>
      </c>
      <c r="F67" s="70" t="s">
        <v>341</v>
      </c>
      <c r="G67" s="67"/>
      <c r="H67" s="67"/>
      <c r="I67" s="45">
        <v>3708148.43</v>
      </c>
    </row>
    <row r="68" spans="1:9" x14ac:dyDescent="0.25">
      <c r="A68" s="66" t="s">
        <v>337</v>
      </c>
      <c r="B68" s="67"/>
      <c r="C68" s="67"/>
      <c r="D68" s="68">
        <v>-102.15</v>
      </c>
      <c r="F68" s="70" t="s">
        <v>342</v>
      </c>
      <c r="G68" s="67"/>
      <c r="H68" s="67"/>
      <c r="I68" s="45">
        <v>1903955.78</v>
      </c>
    </row>
    <row r="69" spans="1:9" x14ac:dyDescent="0.25">
      <c r="A69" s="66"/>
      <c r="B69" s="67"/>
      <c r="C69" s="67"/>
      <c r="D69" s="68"/>
      <c r="F69" s="70"/>
      <c r="G69" s="67"/>
      <c r="H69" s="67"/>
      <c r="I69" s="45"/>
    </row>
    <row r="70" spans="1:9" x14ac:dyDescent="0.25">
      <c r="A70" s="66" t="s">
        <v>338</v>
      </c>
      <c r="B70" s="67"/>
      <c r="C70" s="67"/>
      <c r="D70" s="45">
        <v>108922.39</v>
      </c>
      <c r="F70" s="70" t="s">
        <v>343</v>
      </c>
      <c r="G70" s="67"/>
      <c r="H70" s="67"/>
      <c r="I70" s="45">
        <v>4273733.12</v>
      </c>
    </row>
    <row r="71" spans="1:9" x14ac:dyDescent="0.25">
      <c r="A71" s="63" t="s">
        <v>301</v>
      </c>
      <c r="B71" s="64"/>
      <c r="C71" s="64"/>
      <c r="D71" s="65">
        <v>5219918.99</v>
      </c>
      <c r="F71" s="70" t="s">
        <v>344</v>
      </c>
      <c r="G71" s="67"/>
      <c r="H71" s="67"/>
      <c r="I71" s="45">
        <v>1380818.11</v>
      </c>
    </row>
    <row r="72" spans="1:9" x14ac:dyDescent="0.25">
      <c r="A72" s="66" t="s">
        <v>330</v>
      </c>
      <c r="B72" s="67"/>
      <c r="C72" s="67"/>
      <c r="D72" s="45">
        <v>1031312.88</v>
      </c>
      <c r="F72" s="70" t="s">
        <v>345</v>
      </c>
      <c r="G72" s="67"/>
      <c r="H72" s="67"/>
      <c r="I72" s="45">
        <v>1461663.99</v>
      </c>
    </row>
    <row r="73" spans="1:9" x14ac:dyDescent="0.25">
      <c r="A73" s="66" t="s">
        <v>331</v>
      </c>
      <c r="B73" s="67"/>
      <c r="C73" s="67"/>
      <c r="D73" s="45">
        <v>401828.14</v>
      </c>
      <c r="F73" s="70" t="s">
        <v>346</v>
      </c>
      <c r="G73" s="67"/>
      <c r="H73" s="67"/>
      <c r="I73" s="45">
        <v>1390692.45</v>
      </c>
    </row>
    <row r="74" spans="1:9" x14ac:dyDescent="0.25">
      <c r="A74" s="66" t="s">
        <v>332</v>
      </c>
      <c r="B74" s="67"/>
      <c r="C74" s="67"/>
      <c r="D74" s="45">
        <v>477310.85</v>
      </c>
      <c r="F74" s="70" t="s">
        <v>347</v>
      </c>
      <c r="G74" s="67"/>
      <c r="H74" s="67"/>
      <c r="I74" s="45">
        <v>4660972.49</v>
      </c>
    </row>
    <row r="75" spans="1:9" x14ac:dyDescent="0.25">
      <c r="A75" s="66" t="s">
        <v>333</v>
      </c>
      <c r="B75" s="67"/>
      <c r="C75" s="67"/>
      <c r="D75" s="45">
        <v>691195.25</v>
      </c>
      <c r="F75" s="70" t="s">
        <v>348</v>
      </c>
      <c r="G75" s="67"/>
      <c r="H75" s="67"/>
      <c r="I75" s="45">
        <v>1745505.84</v>
      </c>
    </row>
    <row r="76" spans="1:9" x14ac:dyDescent="0.25">
      <c r="A76" s="66" t="s">
        <v>334</v>
      </c>
      <c r="B76" s="67"/>
      <c r="C76" s="67"/>
      <c r="D76" s="45">
        <v>1085216.95</v>
      </c>
      <c r="F76" s="70" t="s">
        <v>349</v>
      </c>
      <c r="G76" s="67"/>
      <c r="H76" s="67"/>
      <c r="I76" s="45">
        <v>1845185.62</v>
      </c>
    </row>
    <row r="77" spans="1:9" x14ac:dyDescent="0.25">
      <c r="A77" s="66"/>
      <c r="B77" s="67"/>
      <c r="C77" s="67"/>
      <c r="D77" s="45"/>
      <c r="F77" s="70"/>
      <c r="G77" s="67"/>
      <c r="H77" s="67"/>
      <c r="I77" s="45"/>
    </row>
    <row r="78" spans="1:9" x14ac:dyDescent="0.25">
      <c r="A78" s="66" t="s">
        <v>335</v>
      </c>
      <c r="B78" s="67"/>
      <c r="C78" s="67"/>
      <c r="D78" s="45">
        <v>579882.71</v>
      </c>
      <c r="F78" s="70" t="s">
        <v>350</v>
      </c>
      <c r="G78" s="67"/>
      <c r="H78" s="67"/>
      <c r="I78" s="45">
        <v>2072797.13</v>
      </c>
    </row>
    <row r="79" spans="1:9" x14ac:dyDescent="0.25">
      <c r="A79" s="66"/>
      <c r="B79" s="67"/>
      <c r="C79" s="67"/>
      <c r="D79" s="45"/>
      <c r="F79" s="70"/>
      <c r="G79" s="67"/>
      <c r="H79" s="67"/>
      <c r="I79" s="45"/>
    </row>
    <row r="80" spans="1:9" x14ac:dyDescent="0.25">
      <c r="A80" s="66" t="s">
        <v>336</v>
      </c>
      <c r="B80" s="67"/>
      <c r="C80" s="67"/>
      <c r="D80" s="45">
        <v>497901.7</v>
      </c>
      <c r="F80" s="70" t="s">
        <v>351</v>
      </c>
      <c r="G80" s="67"/>
      <c r="H80" s="67"/>
      <c r="I80" s="45">
        <v>1018351.99</v>
      </c>
    </row>
    <row r="81" spans="1:9" x14ac:dyDescent="0.25">
      <c r="A81" s="66" t="s">
        <v>338</v>
      </c>
      <c r="B81" s="67"/>
      <c r="C81" s="67"/>
      <c r="D81" s="45">
        <v>455270.51</v>
      </c>
      <c r="F81" s="70" t="s">
        <v>352</v>
      </c>
      <c r="G81" s="67"/>
      <c r="H81" s="67"/>
      <c r="I81" s="45">
        <v>811925.73</v>
      </c>
    </row>
    <row r="82" spans="1:9" x14ac:dyDescent="0.25">
      <c r="A82" s="63" t="s">
        <v>302</v>
      </c>
      <c r="B82" s="64"/>
      <c r="C82" s="64"/>
      <c r="D82" s="65">
        <v>439835.26</v>
      </c>
      <c r="F82" s="70" t="s">
        <v>353</v>
      </c>
      <c r="G82" s="67"/>
      <c r="H82" s="67"/>
      <c r="I82" s="45">
        <v>214610.44</v>
      </c>
    </row>
    <row r="83" spans="1:9" x14ac:dyDescent="0.25">
      <c r="A83" s="66" t="s">
        <v>330</v>
      </c>
      <c r="B83" s="67"/>
      <c r="C83" s="67"/>
      <c r="D83" s="45">
        <v>78454.58</v>
      </c>
    </row>
    <row r="84" spans="1:9" x14ac:dyDescent="0.25">
      <c r="A84" s="66" t="s">
        <v>331</v>
      </c>
      <c r="B84" s="67"/>
      <c r="C84" s="67"/>
      <c r="D84" s="45">
        <v>35344.07</v>
      </c>
    </row>
    <row r="85" spans="1:9" x14ac:dyDescent="0.25">
      <c r="A85" s="66" t="s">
        <v>332</v>
      </c>
      <c r="B85" s="67"/>
      <c r="C85" s="67"/>
      <c r="D85" s="45">
        <v>41182.370000000003</v>
      </c>
    </row>
    <row r="86" spans="1:9" x14ac:dyDescent="0.25">
      <c r="A86" s="66" t="s">
        <v>333</v>
      </c>
      <c r="B86" s="67"/>
      <c r="C86" s="67"/>
      <c r="D86" s="45">
        <v>61192.54</v>
      </c>
    </row>
    <row r="87" spans="1:9" x14ac:dyDescent="0.25">
      <c r="A87" s="66" t="s">
        <v>334</v>
      </c>
      <c r="B87" s="67"/>
      <c r="C87" s="67"/>
      <c r="D87" s="45">
        <v>98941.69</v>
      </c>
    </row>
    <row r="88" spans="1:9" x14ac:dyDescent="0.25">
      <c r="A88" s="66" t="s">
        <v>335</v>
      </c>
      <c r="B88" s="67"/>
      <c r="C88" s="67"/>
      <c r="D88" s="45">
        <v>49622.38</v>
      </c>
    </row>
    <row r="89" spans="1:9" x14ac:dyDescent="0.25">
      <c r="A89" s="66" t="s">
        <v>336</v>
      </c>
      <c r="B89" s="67"/>
      <c r="C89" s="67"/>
      <c r="D89" s="45">
        <v>39131.53</v>
      </c>
    </row>
    <row r="90" spans="1:9" x14ac:dyDescent="0.25">
      <c r="A90" s="66" t="s">
        <v>338</v>
      </c>
      <c r="B90" s="67"/>
      <c r="C90" s="67"/>
      <c r="D90" s="45">
        <v>35966.1</v>
      </c>
    </row>
    <row r="91" spans="1:9" x14ac:dyDescent="0.25">
      <c r="A91" s="63" t="s">
        <v>303</v>
      </c>
      <c r="B91" s="64"/>
      <c r="C91" s="64"/>
      <c r="D91" s="65">
        <v>443942.77</v>
      </c>
    </row>
    <row r="92" spans="1:9" x14ac:dyDescent="0.25">
      <c r="A92" s="66" t="s">
        <v>330</v>
      </c>
      <c r="B92" s="67"/>
      <c r="C92" s="67"/>
      <c r="D92" s="45">
        <v>114817.69</v>
      </c>
    </row>
    <row r="93" spans="1:9" x14ac:dyDescent="0.25">
      <c r="A93" s="66" t="s">
        <v>331</v>
      </c>
      <c r="B93" s="67"/>
      <c r="C93" s="67"/>
      <c r="D93" s="45">
        <v>32832.67</v>
      </c>
    </row>
    <row r="94" spans="1:9" x14ac:dyDescent="0.25">
      <c r="A94" s="66" t="s">
        <v>332</v>
      </c>
      <c r="B94" s="67"/>
      <c r="C94" s="67"/>
      <c r="D94" s="45">
        <v>52897.22</v>
      </c>
    </row>
    <row r="95" spans="1:9" x14ac:dyDescent="0.25">
      <c r="A95" s="66" t="s">
        <v>333</v>
      </c>
      <c r="B95" s="67"/>
      <c r="C95" s="67"/>
      <c r="D95" s="45">
        <v>18388.77</v>
      </c>
    </row>
    <row r="96" spans="1:9" x14ac:dyDescent="0.25">
      <c r="A96" s="66" t="s">
        <v>334</v>
      </c>
      <c r="B96" s="67"/>
      <c r="C96" s="67"/>
      <c r="D96" s="45">
        <v>74554.399999999994</v>
      </c>
    </row>
    <row r="97" spans="1:4" x14ac:dyDescent="0.25">
      <c r="A97" s="66" t="s">
        <v>335</v>
      </c>
      <c r="B97" s="67"/>
      <c r="C97" s="67"/>
      <c r="D97" s="45">
        <v>66548.94</v>
      </c>
    </row>
    <row r="98" spans="1:4" x14ac:dyDescent="0.25">
      <c r="A98" s="66" t="s">
        <v>336</v>
      </c>
      <c r="B98" s="67"/>
      <c r="C98" s="67"/>
      <c r="D98" s="45">
        <v>53640.76</v>
      </c>
    </row>
    <row r="99" spans="1:4" x14ac:dyDescent="0.25">
      <c r="A99" s="66" t="s">
        <v>338</v>
      </c>
      <c r="B99" s="67"/>
      <c r="C99" s="67"/>
      <c r="D99" s="45">
        <v>30262.32</v>
      </c>
    </row>
    <row r="100" spans="1:4" x14ac:dyDescent="0.25">
      <c r="A100" s="63" t="s">
        <v>304</v>
      </c>
      <c r="B100" s="64"/>
      <c r="C100" s="64"/>
      <c r="D100" s="65">
        <v>686675.66</v>
      </c>
    </row>
    <row r="101" spans="1:4" x14ac:dyDescent="0.25">
      <c r="A101" s="66" t="s">
        <v>330</v>
      </c>
      <c r="B101" s="67"/>
      <c r="C101" s="67"/>
      <c r="D101" s="45">
        <v>184658.67</v>
      </c>
    </row>
    <row r="102" spans="1:4" x14ac:dyDescent="0.25">
      <c r="A102" s="66" t="s">
        <v>331</v>
      </c>
      <c r="B102" s="67"/>
      <c r="C102" s="67"/>
      <c r="D102" s="45">
        <v>62115.54</v>
      </c>
    </row>
    <row r="103" spans="1:4" x14ac:dyDescent="0.25">
      <c r="A103" s="66" t="s">
        <v>332</v>
      </c>
      <c r="B103" s="67"/>
      <c r="C103" s="67"/>
      <c r="D103" s="45">
        <v>87088.15</v>
      </c>
    </row>
    <row r="104" spans="1:4" x14ac:dyDescent="0.25">
      <c r="A104" s="66" t="s">
        <v>333</v>
      </c>
      <c r="B104" s="67"/>
      <c r="C104" s="67"/>
      <c r="D104" s="45">
        <v>20466.439999999999</v>
      </c>
    </row>
    <row r="105" spans="1:4" x14ac:dyDescent="0.25">
      <c r="A105" s="66" t="s">
        <v>334</v>
      </c>
      <c r="B105" s="67"/>
      <c r="C105" s="67"/>
      <c r="D105" s="45">
        <v>85257.83</v>
      </c>
    </row>
    <row r="106" spans="1:4" x14ac:dyDescent="0.25">
      <c r="A106" s="66" t="s">
        <v>335</v>
      </c>
      <c r="B106" s="67"/>
      <c r="C106" s="67"/>
      <c r="D106" s="45">
        <v>132828.03</v>
      </c>
    </row>
    <row r="107" spans="1:4" x14ac:dyDescent="0.25">
      <c r="A107" s="66" t="s">
        <v>336</v>
      </c>
      <c r="B107" s="67"/>
      <c r="C107" s="67"/>
      <c r="D107" s="45">
        <v>82379.679999999993</v>
      </c>
    </row>
    <row r="108" spans="1:4" x14ac:dyDescent="0.25">
      <c r="A108" s="66" t="s">
        <v>338</v>
      </c>
      <c r="B108" s="67"/>
      <c r="C108" s="67"/>
      <c r="D108" s="45">
        <v>31881.32</v>
      </c>
    </row>
    <row r="109" spans="1:4" x14ac:dyDescent="0.25">
      <c r="A109" s="63" t="s">
        <v>339</v>
      </c>
      <c r="B109" s="64"/>
      <c r="C109" s="64"/>
      <c r="D109" s="65">
        <v>3210902.55</v>
      </c>
    </row>
    <row r="110" spans="1:4" x14ac:dyDescent="0.25">
      <c r="A110" s="66" t="s">
        <v>330</v>
      </c>
      <c r="B110" s="67"/>
      <c r="C110" s="67"/>
      <c r="D110" s="45">
        <v>591724.75</v>
      </c>
    </row>
    <row r="111" spans="1:4" x14ac:dyDescent="0.25">
      <c r="A111" s="66" t="s">
        <v>331</v>
      </c>
      <c r="B111" s="67"/>
      <c r="C111" s="67"/>
      <c r="D111" s="45">
        <v>259911.18</v>
      </c>
    </row>
    <row r="112" spans="1:4" x14ac:dyDescent="0.25">
      <c r="A112" s="66" t="s">
        <v>332</v>
      </c>
      <c r="B112" s="67"/>
      <c r="C112" s="67"/>
      <c r="D112" s="45">
        <v>266705.09000000003</v>
      </c>
    </row>
    <row r="113" spans="1:4" x14ac:dyDescent="0.25">
      <c r="A113" s="66" t="s">
        <v>333</v>
      </c>
      <c r="B113" s="67"/>
      <c r="C113" s="67"/>
      <c r="D113" s="45">
        <v>444534.92</v>
      </c>
    </row>
    <row r="114" spans="1:4" x14ac:dyDescent="0.25">
      <c r="A114" s="66" t="s">
        <v>334</v>
      </c>
      <c r="B114" s="67"/>
      <c r="C114" s="67"/>
      <c r="D114" s="45">
        <v>680356.73</v>
      </c>
    </row>
    <row r="115" spans="1:4" x14ac:dyDescent="0.25">
      <c r="A115" s="66" t="s">
        <v>335</v>
      </c>
      <c r="B115" s="67"/>
      <c r="C115" s="67"/>
      <c r="D115" s="45">
        <v>353539.07</v>
      </c>
    </row>
    <row r="116" spans="1:4" x14ac:dyDescent="0.25">
      <c r="A116" s="66" t="s">
        <v>336</v>
      </c>
      <c r="B116" s="67"/>
      <c r="C116" s="67"/>
      <c r="D116" s="45">
        <v>343096.52</v>
      </c>
    </row>
    <row r="117" spans="1:4" x14ac:dyDescent="0.25">
      <c r="A117" s="66" t="s">
        <v>337</v>
      </c>
      <c r="B117" s="67"/>
      <c r="C117" s="67"/>
      <c r="D117" s="68">
        <v>-518.16</v>
      </c>
    </row>
    <row r="118" spans="1:4" x14ac:dyDescent="0.25">
      <c r="A118" s="66" t="s">
        <v>338</v>
      </c>
      <c r="B118" s="67"/>
      <c r="C118" s="67"/>
      <c r="D118" s="45">
        <v>271552.45</v>
      </c>
    </row>
    <row r="119" spans="1:4" x14ac:dyDescent="0.25">
      <c r="A119" s="63" t="s">
        <v>340</v>
      </c>
      <c r="B119" s="64"/>
      <c r="C119" s="64"/>
      <c r="D119" s="65">
        <v>2408084.86</v>
      </c>
    </row>
    <row r="120" spans="1:4" x14ac:dyDescent="0.25">
      <c r="A120" s="66" t="s">
        <v>334</v>
      </c>
      <c r="B120" s="67"/>
      <c r="C120" s="67"/>
      <c r="D120" s="45">
        <v>1513654.9</v>
      </c>
    </row>
    <row r="121" spans="1:4" x14ac:dyDescent="0.25">
      <c r="A121" s="66" t="s">
        <v>335</v>
      </c>
      <c r="B121" s="67"/>
      <c r="C121" s="67"/>
      <c r="D121" s="45">
        <v>347590.16</v>
      </c>
    </row>
    <row r="122" spans="1:4" x14ac:dyDescent="0.25">
      <c r="A122" s="66" t="s">
        <v>336</v>
      </c>
      <c r="B122" s="67"/>
      <c r="C122" s="67"/>
      <c r="D122" s="45">
        <v>320900.67</v>
      </c>
    </row>
    <row r="123" spans="1:4" x14ac:dyDescent="0.25">
      <c r="A123" s="66" t="s">
        <v>337</v>
      </c>
      <c r="B123" s="67"/>
      <c r="C123" s="67"/>
      <c r="D123" s="69">
        <v>-41657.14</v>
      </c>
    </row>
    <row r="124" spans="1:4" x14ac:dyDescent="0.25">
      <c r="A124" s="66" t="s">
        <v>338</v>
      </c>
      <c r="B124" s="67"/>
      <c r="C124" s="67"/>
      <c r="D124" s="45">
        <v>267596.27</v>
      </c>
    </row>
    <row r="125" spans="1:4" x14ac:dyDescent="0.25">
      <c r="A125" s="63" t="s">
        <v>341</v>
      </c>
      <c r="B125" s="64"/>
      <c r="C125" s="64"/>
      <c r="D125" s="65">
        <v>3708148.43</v>
      </c>
    </row>
    <row r="126" spans="1:4" x14ac:dyDescent="0.25">
      <c r="A126" s="66" t="s">
        <v>334</v>
      </c>
      <c r="B126" s="67"/>
      <c r="C126" s="67"/>
      <c r="D126" s="45">
        <v>2054759.3</v>
      </c>
    </row>
    <row r="127" spans="1:4" x14ac:dyDescent="0.25">
      <c r="A127" s="66" t="s">
        <v>335</v>
      </c>
      <c r="B127" s="67"/>
      <c r="C127" s="67"/>
      <c r="D127" s="45">
        <v>605454.74</v>
      </c>
    </row>
    <row r="128" spans="1:4" x14ac:dyDescent="0.25">
      <c r="A128" s="66" t="s">
        <v>336</v>
      </c>
      <c r="B128" s="67"/>
      <c r="C128" s="67"/>
      <c r="D128" s="45">
        <v>579435.26</v>
      </c>
    </row>
    <row r="129" spans="1:4" x14ac:dyDescent="0.25">
      <c r="A129" s="66" t="s">
        <v>337</v>
      </c>
      <c r="B129" s="67"/>
      <c r="C129" s="67"/>
      <c r="D129" s="69">
        <v>-51232.06</v>
      </c>
    </row>
    <row r="130" spans="1:4" x14ac:dyDescent="0.25">
      <c r="A130" s="66" t="s">
        <v>338</v>
      </c>
      <c r="B130" s="67"/>
      <c r="C130" s="67"/>
      <c r="D130" s="45">
        <v>519731.19</v>
      </c>
    </row>
    <row r="131" spans="1:4" x14ac:dyDescent="0.25">
      <c r="A131" s="63" t="s">
        <v>342</v>
      </c>
      <c r="B131" s="64"/>
      <c r="C131" s="64"/>
      <c r="D131" s="65">
        <v>1903955.78</v>
      </c>
    </row>
    <row r="132" spans="1:4" x14ac:dyDescent="0.25">
      <c r="A132" s="66" t="s">
        <v>334</v>
      </c>
      <c r="B132" s="67"/>
      <c r="C132" s="67"/>
      <c r="D132" s="45">
        <v>928896.66</v>
      </c>
    </row>
    <row r="133" spans="1:4" x14ac:dyDescent="0.25">
      <c r="A133" s="66" t="s">
        <v>335</v>
      </c>
      <c r="B133" s="67"/>
      <c r="C133" s="67"/>
      <c r="D133" s="45">
        <v>350485.43</v>
      </c>
    </row>
    <row r="134" spans="1:4" x14ac:dyDescent="0.25">
      <c r="A134" s="66" t="s">
        <v>336</v>
      </c>
      <c r="B134" s="67"/>
      <c r="C134" s="67"/>
      <c r="D134" s="45">
        <v>361515.93</v>
      </c>
    </row>
    <row r="135" spans="1:4" x14ac:dyDescent="0.25">
      <c r="A135" s="66" t="s">
        <v>337</v>
      </c>
      <c r="B135" s="67"/>
      <c r="C135" s="67"/>
      <c r="D135" s="69">
        <v>-8993.11</v>
      </c>
    </row>
    <row r="136" spans="1:4" x14ac:dyDescent="0.25">
      <c r="A136" s="66" t="s">
        <v>338</v>
      </c>
      <c r="B136" s="67"/>
      <c r="C136" s="67"/>
      <c r="D136" s="45">
        <v>272050.87</v>
      </c>
    </row>
    <row r="137" spans="1:4" x14ac:dyDescent="0.25">
      <c r="A137" s="63" t="s">
        <v>343</v>
      </c>
      <c r="B137" s="64"/>
      <c r="C137" s="64"/>
      <c r="D137" s="65">
        <v>4273733.12</v>
      </c>
    </row>
    <row r="138" spans="1:4" x14ac:dyDescent="0.25">
      <c r="A138" s="66" t="s">
        <v>330</v>
      </c>
      <c r="B138" s="67"/>
      <c r="C138" s="67"/>
      <c r="D138" s="45">
        <v>816708.43</v>
      </c>
    </row>
    <row r="139" spans="1:4" x14ac:dyDescent="0.25">
      <c r="A139" s="66" t="s">
        <v>331</v>
      </c>
      <c r="B139" s="67"/>
      <c r="C139" s="67"/>
      <c r="D139" s="45">
        <v>338399.53</v>
      </c>
    </row>
    <row r="140" spans="1:4" x14ac:dyDescent="0.25">
      <c r="A140" s="66" t="s">
        <v>332</v>
      </c>
      <c r="B140" s="67"/>
      <c r="C140" s="67"/>
      <c r="D140" s="45">
        <v>329673.77</v>
      </c>
    </row>
    <row r="141" spans="1:4" x14ac:dyDescent="0.25">
      <c r="A141" s="66" t="s">
        <v>333</v>
      </c>
      <c r="B141" s="67"/>
      <c r="C141" s="67"/>
      <c r="D141" s="45">
        <v>628159.19999999995</v>
      </c>
    </row>
    <row r="142" spans="1:4" x14ac:dyDescent="0.25">
      <c r="A142" s="66" t="s">
        <v>334</v>
      </c>
      <c r="B142" s="67"/>
      <c r="C142" s="67"/>
      <c r="D142" s="45">
        <v>933772.45</v>
      </c>
    </row>
    <row r="143" spans="1:4" x14ac:dyDescent="0.25">
      <c r="A143" s="66" t="s">
        <v>335</v>
      </c>
      <c r="B143" s="67"/>
      <c r="C143" s="67"/>
      <c r="D143" s="45">
        <v>455529.74</v>
      </c>
    </row>
    <row r="144" spans="1:4" x14ac:dyDescent="0.25">
      <c r="A144" s="66" t="s">
        <v>336</v>
      </c>
      <c r="B144" s="67"/>
      <c r="C144" s="67"/>
      <c r="D144" s="45">
        <v>382415.42</v>
      </c>
    </row>
    <row r="145" spans="1:4" x14ac:dyDescent="0.25">
      <c r="A145" s="66" t="s">
        <v>338</v>
      </c>
      <c r="B145" s="67"/>
      <c r="C145" s="67"/>
      <c r="D145" s="45">
        <v>389074.58</v>
      </c>
    </row>
    <row r="146" spans="1:4" x14ac:dyDescent="0.25">
      <c r="A146" s="63" t="s">
        <v>344</v>
      </c>
      <c r="B146" s="64"/>
      <c r="C146" s="64"/>
      <c r="D146" s="65">
        <v>1380818.11</v>
      </c>
    </row>
    <row r="147" spans="1:4" x14ac:dyDescent="0.25">
      <c r="A147" s="66" t="s">
        <v>330</v>
      </c>
      <c r="B147" s="67"/>
      <c r="C147" s="67"/>
      <c r="D147" s="45">
        <v>256655.34</v>
      </c>
    </row>
    <row r="148" spans="1:4" x14ac:dyDescent="0.25">
      <c r="A148" s="66" t="s">
        <v>331</v>
      </c>
      <c r="B148" s="67"/>
      <c r="C148" s="67"/>
      <c r="D148" s="45">
        <v>108044.4</v>
      </c>
    </row>
    <row r="149" spans="1:4" x14ac:dyDescent="0.25">
      <c r="A149" s="66" t="s">
        <v>332</v>
      </c>
      <c r="B149" s="67"/>
      <c r="C149" s="67"/>
      <c r="D149" s="45">
        <v>123550.93</v>
      </c>
    </row>
    <row r="150" spans="1:4" x14ac:dyDescent="0.25">
      <c r="A150" s="66" t="s">
        <v>333</v>
      </c>
      <c r="B150" s="67"/>
      <c r="C150" s="67"/>
      <c r="D150" s="45">
        <v>191159.48</v>
      </c>
    </row>
    <row r="151" spans="1:4" x14ac:dyDescent="0.25">
      <c r="A151" s="66" t="s">
        <v>334</v>
      </c>
      <c r="B151" s="67"/>
      <c r="C151" s="67"/>
      <c r="D151" s="45">
        <v>320093.89</v>
      </c>
    </row>
    <row r="152" spans="1:4" x14ac:dyDescent="0.25">
      <c r="A152" s="66" t="s">
        <v>335</v>
      </c>
      <c r="B152" s="67"/>
      <c r="C152" s="67"/>
      <c r="D152" s="45">
        <v>146017.97</v>
      </c>
    </row>
    <row r="153" spans="1:4" x14ac:dyDescent="0.25">
      <c r="A153" s="66" t="s">
        <v>336</v>
      </c>
      <c r="B153" s="67"/>
      <c r="C153" s="67"/>
      <c r="D153" s="45">
        <v>117836.27</v>
      </c>
    </row>
    <row r="154" spans="1:4" x14ac:dyDescent="0.25">
      <c r="A154" s="66" t="s">
        <v>338</v>
      </c>
      <c r="B154" s="67"/>
      <c r="C154" s="67"/>
      <c r="D154" s="45">
        <v>117459.83</v>
      </c>
    </row>
    <row r="155" spans="1:4" x14ac:dyDescent="0.25">
      <c r="A155" s="63" t="s">
        <v>345</v>
      </c>
      <c r="B155" s="64"/>
      <c r="C155" s="64"/>
      <c r="D155" s="65">
        <v>1461663.99</v>
      </c>
    </row>
    <row r="156" spans="1:4" x14ac:dyDescent="0.25">
      <c r="A156" s="66" t="s">
        <v>330</v>
      </c>
      <c r="B156" s="67"/>
      <c r="C156" s="67"/>
      <c r="D156" s="45">
        <v>266878.05</v>
      </c>
    </row>
    <row r="157" spans="1:4" x14ac:dyDescent="0.25">
      <c r="A157" s="66" t="s">
        <v>331</v>
      </c>
      <c r="B157" s="67"/>
      <c r="C157" s="67"/>
      <c r="D157" s="45">
        <v>116482.46</v>
      </c>
    </row>
    <row r="158" spans="1:4" x14ac:dyDescent="0.25">
      <c r="A158" s="66" t="s">
        <v>332</v>
      </c>
      <c r="B158" s="67"/>
      <c r="C158" s="67"/>
      <c r="D158" s="45">
        <v>112442.96</v>
      </c>
    </row>
    <row r="159" spans="1:4" x14ac:dyDescent="0.25">
      <c r="A159" s="66" t="s">
        <v>333</v>
      </c>
      <c r="B159" s="67"/>
      <c r="C159" s="67"/>
      <c r="D159" s="45">
        <v>214191.02</v>
      </c>
    </row>
    <row r="160" spans="1:4" x14ac:dyDescent="0.25">
      <c r="A160" s="66" t="s">
        <v>334</v>
      </c>
      <c r="B160" s="67"/>
      <c r="C160" s="67"/>
      <c r="D160" s="45">
        <v>331934.75</v>
      </c>
    </row>
    <row r="161" spans="1:4" x14ac:dyDescent="0.25">
      <c r="A161" s="66" t="s">
        <v>335</v>
      </c>
      <c r="B161" s="67"/>
      <c r="C161" s="67"/>
      <c r="D161" s="45">
        <v>161076.78</v>
      </c>
    </row>
    <row r="162" spans="1:4" x14ac:dyDescent="0.25">
      <c r="A162" s="66" t="s">
        <v>336</v>
      </c>
      <c r="B162" s="67"/>
      <c r="C162" s="67"/>
      <c r="D162" s="45">
        <v>125325.26</v>
      </c>
    </row>
    <row r="163" spans="1:4" x14ac:dyDescent="0.25">
      <c r="A163" s="66" t="s">
        <v>338</v>
      </c>
      <c r="B163" s="67"/>
      <c r="C163" s="67"/>
      <c r="D163" s="45">
        <v>133332.71</v>
      </c>
    </row>
    <row r="164" spans="1:4" x14ac:dyDescent="0.25">
      <c r="A164" s="63" t="s">
        <v>346</v>
      </c>
      <c r="B164" s="64"/>
      <c r="C164" s="64"/>
      <c r="D164" s="65">
        <v>1390692.45</v>
      </c>
    </row>
    <row r="165" spans="1:4" x14ac:dyDescent="0.25">
      <c r="A165" s="66" t="s">
        <v>330</v>
      </c>
      <c r="B165" s="67"/>
      <c r="C165" s="67"/>
      <c r="D165" s="45">
        <v>238185.76</v>
      </c>
    </row>
    <row r="166" spans="1:4" x14ac:dyDescent="0.25">
      <c r="A166" s="66" t="s">
        <v>331</v>
      </c>
      <c r="B166" s="67"/>
      <c r="C166" s="67"/>
      <c r="D166" s="45">
        <v>104160.42</v>
      </c>
    </row>
    <row r="167" spans="1:4" x14ac:dyDescent="0.25">
      <c r="A167" s="66" t="s">
        <v>332</v>
      </c>
      <c r="B167" s="67"/>
      <c r="C167" s="67"/>
      <c r="D167" s="45">
        <v>106222.29</v>
      </c>
    </row>
    <row r="168" spans="1:4" x14ac:dyDescent="0.25">
      <c r="A168" s="66" t="s">
        <v>333</v>
      </c>
      <c r="B168" s="67"/>
      <c r="C168" s="67"/>
      <c r="D168" s="45">
        <v>203073.98</v>
      </c>
    </row>
    <row r="169" spans="1:4" x14ac:dyDescent="0.25">
      <c r="A169" s="66" t="s">
        <v>334</v>
      </c>
      <c r="B169" s="67"/>
      <c r="C169" s="67"/>
      <c r="D169" s="45">
        <v>340394.92</v>
      </c>
    </row>
    <row r="170" spans="1:4" x14ac:dyDescent="0.25">
      <c r="A170" s="66" t="s">
        <v>335</v>
      </c>
      <c r="B170" s="67"/>
      <c r="C170" s="67"/>
      <c r="D170" s="45">
        <v>154174.07</v>
      </c>
    </row>
    <row r="171" spans="1:4" x14ac:dyDescent="0.25">
      <c r="A171" s="66" t="s">
        <v>336</v>
      </c>
      <c r="B171" s="67"/>
      <c r="C171" s="67"/>
      <c r="D171" s="45">
        <v>120227.45</v>
      </c>
    </row>
    <row r="172" spans="1:4" x14ac:dyDescent="0.25">
      <c r="A172" s="66" t="s">
        <v>338</v>
      </c>
      <c r="B172" s="67"/>
      <c r="C172" s="67"/>
      <c r="D172" s="45">
        <v>124253.56</v>
      </c>
    </row>
    <row r="173" spans="1:4" x14ac:dyDescent="0.25">
      <c r="A173" s="63" t="s">
        <v>347</v>
      </c>
      <c r="B173" s="64"/>
      <c r="C173" s="64"/>
      <c r="D173" s="65">
        <v>4660972.49</v>
      </c>
    </row>
    <row r="174" spans="1:4" x14ac:dyDescent="0.25">
      <c r="A174" s="66" t="s">
        <v>330</v>
      </c>
      <c r="B174" s="67"/>
      <c r="C174" s="67"/>
      <c r="D174" s="45">
        <v>943229.75</v>
      </c>
    </row>
    <row r="175" spans="1:4" x14ac:dyDescent="0.25">
      <c r="A175" s="66" t="s">
        <v>331</v>
      </c>
      <c r="B175" s="67"/>
      <c r="C175" s="67"/>
      <c r="D175" s="45">
        <v>358776.19</v>
      </c>
    </row>
    <row r="176" spans="1:4" x14ac:dyDescent="0.25">
      <c r="A176" s="66" t="s">
        <v>332</v>
      </c>
      <c r="B176" s="67"/>
      <c r="C176" s="67"/>
      <c r="D176" s="45">
        <v>375236.87</v>
      </c>
    </row>
    <row r="177" spans="1:4" x14ac:dyDescent="0.25">
      <c r="A177" s="66" t="s">
        <v>333</v>
      </c>
      <c r="B177" s="67"/>
      <c r="C177" s="67"/>
      <c r="D177" s="45">
        <v>621029.49</v>
      </c>
    </row>
    <row r="178" spans="1:4" x14ac:dyDescent="0.25">
      <c r="A178" s="66" t="s">
        <v>334</v>
      </c>
      <c r="B178" s="67"/>
      <c r="C178" s="67"/>
      <c r="D178" s="45">
        <v>924679.84</v>
      </c>
    </row>
    <row r="179" spans="1:4" x14ac:dyDescent="0.25">
      <c r="A179" s="66" t="s">
        <v>335</v>
      </c>
      <c r="B179" s="67"/>
      <c r="C179" s="67"/>
      <c r="D179" s="45">
        <v>491407.63</v>
      </c>
    </row>
    <row r="180" spans="1:4" x14ac:dyDescent="0.25">
      <c r="A180" s="66" t="s">
        <v>336</v>
      </c>
      <c r="B180" s="67"/>
      <c r="C180" s="67"/>
      <c r="D180" s="45">
        <v>338111.7</v>
      </c>
    </row>
    <row r="181" spans="1:4" x14ac:dyDescent="0.25">
      <c r="A181" s="66" t="s">
        <v>337</v>
      </c>
      <c r="B181" s="67"/>
      <c r="C181" s="67"/>
      <c r="D181" s="45">
        <v>88491.53</v>
      </c>
    </row>
    <row r="182" spans="1:4" x14ac:dyDescent="0.25">
      <c r="A182" s="66" t="s">
        <v>338</v>
      </c>
      <c r="B182" s="67"/>
      <c r="C182" s="67"/>
      <c r="D182" s="45">
        <v>520009.49</v>
      </c>
    </row>
    <row r="183" spans="1:4" x14ac:dyDescent="0.25">
      <c r="A183" s="63" t="s">
        <v>348</v>
      </c>
      <c r="B183" s="64"/>
      <c r="C183" s="64"/>
      <c r="D183" s="65">
        <v>1745505.84</v>
      </c>
    </row>
    <row r="184" spans="1:4" x14ac:dyDescent="0.25">
      <c r="A184" s="66" t="s">
        <v>330</v>
      </c>
      <c r="B184" s="67"/>
      <c r="C184" s="67"/>
      <c r="D184" s="45">
        <v>337611.35</v>
      </c>
    </row>
    <row r="185" spans="1:4" x14ac:dyDescent="0.25">
      <c r="A185" s="66" t="s">
        <v>331</v>
      </c>
      <c r="B185" s="67"/>
      <c r="C185" s="67"/>
      <c r="D185" s="45">
        <v>131684.66</v>
      </c>
    </row>
    <row r="186" spans="1:4" x14ac:dyDescent="0.25">
      <c r="A186" s="66" t="s">
        <v>332</v>
      </c>
      <c r="B186" s="67"/>
      <c r="C186" s="67"/>
      <c r="D186" s="45">
        <v>145042.97</v>
      </c>
    </row>
    <row r="187" spans="1:4" x14ac:dyDescent="0.25">
      <c r="A187" s="66" t="s">
        <v>333</v>
      </c>
      <c r="B187" s="67"/>
      <c r="C187" s="67"/>
      <c r="D187" s="45">
        <v>250924.66</v>
      </c>
    </row>
    <row r="188" spans="1:4" x14ac:dyDescent="0.25">
      <c r="A188" s="66" t="s">
        <v>334</v>
      </c>
      <c r="B188" s="67"/>
      <c r="C188" s="67"/>
      <c r="D188" s="45">
        <v>395105.93</v>
      </c>
    </row>
    <row r="189" spans="1:4" x14ac:dyDescent="0.25">
      <c r="A189" s="66" t="s">
        <v>335</v>
      </c>
      <c r="B189" s="67"/>
      <c r="C189" s="67"/>
      <c r="D189" s="45">
        <v>181545.77</v>
      </c>
    </row>
    <row r="190" spans="1:4" x14ac:dyDescent="0.25">
      <c r="A190" s="66" t="s">
        <v>336</v>
      </c>
      <c r="B190" s="67"/>
      <c r="C190" s="67"/>
      <c r="D190" s="45">
        <v>139705.07999999999</v>
      </c>
    </row>
    <row r="191" spans="1:4" x14ac:dyDescent="0.25">
      <c r="A191" s="66" t="s">
        <v>338</v>
      </c>
      <c r="B191" s="67"/>
      <c r="C191" s="67"/>
      <c r="D191" s="45">
        <v>163885.42000000001</v>
      </c>
    </row>
    <row r="192" spans="1:4" x14ac:dyDescent="0.25">
      <c r="A192" s="63" t="s">
        <v>349</v>
      </c>
      <c r="B192" s="64"/>
      <c r="C192" s="64"/>
      <c r="D192" s="65">
        <v>1845185.62</v>
      </c>
    </row>
    <row r="193" spans="1:4" x14ac:dyDescent="0.25">
      <c r="A193" s="66" t="s">
        <v>330</v>
      </c>
      <c r="B193" s="67"/>
      <c r="C193" s="67"/>
      <c r="D193" s="45">
        <v>374805.43</v>
      </c>
    </row>
    <row r="194" spans="1:4" x14ac:dyDescent="0.25">
      <c r="A194" s="66" t="s">
        <v>331</v>
      </c>
      <c r="B194" s="67"/>
      <c r="C194" s="67"/>
      <c r="D194" s="45">
        <v>147492.97</v>
      </c>
    </row>
    <row r="195" spans="1:4" x14ac:dyDescent="0.25">
      <c r="A195" s="66" t="s">
        <v>332</v>
      </c>
      <c r="B195" s="67"/>
      <c r="C195" s="67"/>
      <c r="D195" s="45">
        <v>152698.14000000001</v>
      </c>
    </row>
    <row r="196" spans="1:4" x14ac:dyDescent="0.25">
      <c r="A196" s="66" t="s">
        <v>333</v>
      </c>
      <c r="B196" s="67"/>
      <c r="C196" s="67"/>
      <c r="D196" s="45">
        <v>263623.48</v>
      </c>
    </row>
    <row r="197" spans="1:4" x14ac:dyDescent="0.25">
      <c r="A197" s="66" t="s">
        <v>334</v>
      </c>
      <c r="B197" s="67"/>
      <c r="C197" s="67"/>
      <c r="D197" s="45">
        <v>379225.77</v>
      </c>
    </row>
    <row r="198" spans="1:4" x14ac:dyDescent="0.25">
      <c r="A198" s="66" t="s">
        <v>335</v>
      </c>
      <c r="B198" s="67"/>
      <c r="C198" s="67"/>
      <c r="D198" s="45">
        <v>188788.81</v>
      </c>
    </row>
    <row r="199" spans="1:4" x14ac:dyDescent="0.25">
      <c r="A199" s="66" t="s">
        <v>336</v>
      </c>
      <c r="B199" s="67"/>
      <c r="C199" s="67"/>
      <c r="D199" s="45">
        <v>155211.35999999999</v>
      </c>
    </row>
    <row r="200" spans="1:4" x14ac:dyDescent="0.25">
      <c r="A200" s="66" t="s">
        <v>338</v>
      </c>
      <c r="B200" s="67"/>
      <c r="C200" s="67"/>
      <c r="D200" s="45">
        <v>183339.66</v>
      </c>
    </row>
    <row r="201" spans="1:4" x14ac:dyDescent="0.25">
      <c r="A201" s="63" t="s">
        <v>350</v>
      </c>
      <c r="B201" s="64"/>
      <c r="C201" s="64"/>
      <c r="D201" s="65">
        <v>2072797.13</v>
      </c>
    </row>
    <row r="202" spans="1:4" x14ac:dyDescent="0.25">
      <c r="A202" s="66" t="s">
        <v>330</v>
      </c>
      <c r="B202" s="67"/>
      <c r="C202" s="67"/>
      <c r="D202" s="45">
        <v>423462.89</v>
      </c>
    </row>
    <row r="203" spans="1:4" x14ac:dyDescent="0.25">
      <c r="A203" s="66" t="s">
        <v>331</v>
      </c>
      <c r="B203" s="67"/>
      <c r="C203" s="67"/>
      <c r="D203" s="45">
        <v>165003.31</v>
      </c>
    </row>
    <row r="204" spans="1:4" x14ac:dyDescent="0.25">
      <c r="A204" s="66" t="s">
        <v>332</v>
      </c>
      <c r="B204" s="67"/>
      <c r="C204" s="67"/>
      <c r="D204" s="45">
        <v>168512.88</v>
      </c>
    </row>
    <row r="205" spans="1:4" x14ac:dyDescent="0.25">
      <c r="A205" s="66" t="s">
        <v>333</v>
      </c>
      <c r="B205" s="67"/>
      <c r="C205" s="67"/>
      <c r="D205" s="45">
        <v>299962.11</v>
      </c>
    </row>
    <row r="206" spans="1:4" x14ac:dyDescent="0.25">
      <c r="A206" s="66" t="s">
        <v>334</v>
      </c>
      <c r="B206" s="67"/>
      <c r="C206" s="67"/>
      <c r="D206" s="45">
        <v>442185.6</v>
      </c>
    </row>
    <row r="207" spans="1:4" x14ac:dyDescent="0.25">
      <c r="A207" s="66" t="s">
        <v>335</v>
      </c>
      <c r="B207" s="67"/>
      <c r="C207" s="67"/>
      <c r="D207" s="45">
        <v>215571.36</v>
      </c>
    </row>
    <row r="208" spans="1:4" x14ac:dyDescent="0.25">
      <c r="A208" s="66" t="s">
        <v>336</v>
      </c>
      <c r="B208" s="67"/>
      <c r="C208" s="67"/>
      <c r="D208" s="45">
        <v>164028.47</v>
      </c>
    </row>
    <row r="209" spans="1:4" x14ac:dyDescent="0.25">
      <c r="A209" s="66" t="s">
        <v>338</v>
      </c>
      <c r="B209" s="67"/>
      <c r="C209" s="67"/>
      <c r="D209" s="45">
        <v>194070.51</v>
      </c>
    </row>
    <row r="210" spans="1:4" x14ac:dyDescent="0.25">
      <c r="A210" s="63" t="s">
        <v>351</v>
      </c>
      <c r="B210" s="64"/>
      <c r="C210" s="64"/>
      <c r="D210" s="65">
        <v>1018351.99</v>
      </c>
    </row>
    <row r="211" spans="1:4" x14ac:dyDescent="0.25">
      <c r="A211" s="66" t="s">
        <v>334</v>
      </c>
      <c r="B211" s="67"/>
      <c r="C211" s="67"/>
      <c r="D211" s="45">
        <v>479998.74</v>
      </c>
    </row>
    <row r="212" spans="1:4" x14ac:dyDescent="0.25">
      <c r="A212" s="66" t="s">
        <v>335</v>
      </c>
      <c r="B212" s="67"/>
      <c r="C212" s="67"/>
      <c r="D212" s="45">
        <v>211711.68</v>
      </c>
    </row>
    <row r="213" spans="1:4" x14ac:dyDescent="0.25">
      <c r="A213" s="66" t="s">
        <v>336</v>
      </c>
      <c r="B213" s="67"/>
      <c r="C213" s="67"/>
      <c r="D213" s="45">
        <v>175395.19</v>
      </c>
    </row>
    <row r="214" spans="1:4" x14ac:dyDescent="0.25">
      <c r="A214" s="66" t="s">
        <v>337</v>
      </c>
      <c r="B214" s="67"/>
      <c r="C214" s="67"/>
      <c r="D214" s="69">
        <v>-6352.64</v>
      </c>
    </row>
    <row r="215" spans="1:4" x14ac:dyDescent="0.25">
      <c r="A215" s="66" t="s">
        <v>338</v>
      </c>
      <c r="B215" s="67"/>
      <c r="C215" s="67"/>
      <c r="D215" s="45">
        <v>157599.01999999999</v>
      </c>
    </row>
    <row r="216" spans="1:4" x14ac:dyDescent="0.25">
      <c r="A216" s="63" t="s">
        <v>352</v>
      </c>
      <c r="B216" s="64"/>
      <c r="C216" s="64"/>
      <c r="D216" s="65">
        <v>811925.73</v>
      </c>
    </row>
    <row r="217" spans="1:4" x14ac:dyDescent="0.25">
      <c r="A217" s="66" t="s">
        <v>334</v>
      </c>
      <c r="B217" s="67"/>
      <c r="C217" s="67"/>
      <c r="D217" s="45">
        <v>431433.98</v>
      </c>
    </row>
    <row r="218" spans="1:4" x14ac:dyDescent="0.25">
      <c r="A218" s="66" t="s">
        <v>335</v>
      </c>
      <c r="B218" s="67"/>
      <c r="C218" s="67"/>
      <c r="D218" s="45">
        <v>193774.07999999999</v>
      </c>
    </row>
    <row r="219" spans="1:4" x14ac:dyDescent="0.25">
      <c r="A219" s="66" t="s">
        <v>336</v>
      </c>
      <c r="B219" s="67"/>
      <c r="C219" s="67"/>
      <c r="D219" s="45">
        <v>150829.38</v>
      </c>
    </row>
    <row r="220" spans="1:4" x14ac:dyDescent="0.25">
      <c r="A220" s="66" t="s">
        <v>337</v>
      </c>
      <c r="B220" s="67"/>
      <c r="C220" s="67"/>
      <c r="D220" s="69">
        <v>-93023.03</v>
      </c>
    </row>
    <row r="221" spans="1:4" x14ac:dyDescent="0.25">
      <c r="A221" s="66" t="s">
        <v>338</v>
      </c>
      <c r="B221" s="67"/>
      <c r="C221" s="67"/>
      <c r="D221" s="45">
        <v>128911.32</v>
      </c>
    </row>
    <row r="222" spans="1:4" x14ac:dyDescent="0.25">
      <c r="A222" s="63" t="s">
        <v>353</v>
      </c>
      <c r="B222" s="64"/>
      <c r="C222" s="64"/>
      <c r="D222" s="65">
        <v>214610.44</v>
      </c>
    </row>
    <row r="223" spans="1:4" x14ac:dyDescent="0.25">
      <c r="A223" s="66" t="s">
        <v>334</v>
      </c>
      <c r="B223" s="67"/>
      <c r="C223" s="67"/>
      <c r="D223" s="45">
        <v>104430.19</v>
      </c>
    </row>
    <row r="224" spans="1:4" x14ac:dyDescent="0.25">
      <c r="A224" s="66" t="s">
        <v>335</v>
      </c>
      <c r="B224" s="67"/>
      <c r="C224" s="67"/>
      <c r="D224" s="45">
        <v>37323.61</v>
      </c>
    </row>
    <row r="225" spans="1:4" x14ac:dyDescent="0.25">
      <c r="A225" s="66" t="s">
        <v>336</v>
      </c>
      <c r="B225" s="67"/>
      <c r="C225" s="67"/>
      <c r="D225" s="45">
        <v>39518.49</v>
      </c>
    </row>
    <row r="226" spans="1:4" x14ac:dyDescent="0.25">
      <c r="A226" s="66" t="s">
        <v>337</v>
      </c>
      <c r="B226" s="67"/>
      <c r="C226" s="67"/>
      <c r="D226" s="68">
        <v>-949.61</v>
      </c>
    </row>
    <row r="227" spans="1:4" x14ac:dyDescent="0.25">
      <c r="A227" s="66" t="s">
        <v>338</v>
      </c>
      <c r="B227" s="67"/>
      <c r="C227" s="67"/>
      <c r="D227" s="45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45"/>
  <sheetViews>
    <sheetView showGridLines="0" tabSelected="1" zoomScale="84" zoomScaleNormal="84" workbookViewId="0">
      <pane xSplit="3" ySplit="7" topLeftCell="D237" activePane="bottomRight" state="frozen"/>
      <selection pane="topRight" activeCell="D1" sqref="D1"/>
      <selection pane="bottomLeft" activeCell="A8" sqref="A8"/>
      <selection pane="bottomRight" activeCell="E8" sqref="E8"/>
    </sheetView>
  </sheetViews>
  <sheetFormatPr defaultColWidth="9" defaultRowHeight="15.75" outlineLevelRow="1" outlineLevelCol="1" x14ac:dyDescent="0.25"/>
  <cols>
    <col min="1" max="1" width="10.125" style="171" customWidth="1"/>
    <col min="2" max="2" width="34.25" style="201" customWidth="1"/>
    <col min="3" max="3" width="8" style="202" customWidth="1"/>
    <col min="4" max="14" width="27" style="203" customWidth="1"/>
    <col min="15" max="15" width="26.875" style="203" customWidth="1"/>
    <col min="16" max="19" width="27" style="203" customWidth="1"/>
    <col min="20" max="30" width="27" style="203" hidden="1" customWidth="1" outlineLevel="1"/>
    <col min="31" max="31" width="15.875" style="229" customWidth="1" collapsed="1"/>
    <col min="32" max="32" width="15.875" style="229" customWidth="1"/>
    <col min="33" max="33" width="19.625" style="230" customWidth="1"/>
    <col min="34" max="16384" width="9" style="171"/>
  </cols>
  <sheetData>
    <row r="1" spans="1:33" ht="44.25" customHeight="1" x14ac:dyDescent="0.25">
      <c r="A1" s="220" t="s">
        <v>2358</v>
      </c>
      <c r="B1" s="220"/>
      <c r="C1" s="22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3" ht="44.25" customHeight="1" x14ac:dyDescent="0.25">
      <c r="A2" s="221" t="s">
        <v>2370</v>
      </c>
      <c r="B2" s="221"/>
      <c r="C2" s="221"/>
      <c r="D2" s="206">
        <v>4435.8</v>
      </c>
      <c r="E2" s="206">
        <v>4444.6000000000004</v>
      </c>
      <c r="F2" s="206">
        <v>1998.8</v>
      </c>
      <c r="G2" s="206">
        <v>1321.8</v>
      </c>
      <c r="H2" s="206">
        <v>2723.8</v>
      </c>
      <c r="I2" s="206"/>
      <c r="J2" s="206">
        <v>3177.03</v>
      </c>
      <c r="K2" s="206">
        <v>3161.2</v>
      </c>
      <c r="L2" s="206">
        <v>653.20000000000005</v>
      </c>
      <c r="M2" s="206">
        <v>126.6</v>
      </c>
      <c r="N2" s="206">
        <v>136.9</v>
      </c>
      <c r="O2" s="206">
        <v>175.8</v>
      </c>
      <c r="P2" s="206">
        <v>440.5</v>
      </c>
      <c r="Q2" s="206">
        <v>454.4</v>
      </c>
      <c r="R2" s="206">
        <v>437.6</v>
      </c>
      <c r="S2" s="206">
        <v>433.2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31">
        <f>SUM(D2:AD2)</f>
        <v>24121.23</v>
      </c>
    </row>
    <row r="3" spans="1:33" ht="79.5" customHeight="1" x14ac:dyDescent="0.25">
      <c r="A3" s="222" t="s">
        <v>0</v>
      </c>
      <c r="B3" s="223"/>
      <c r="C3" s="224"/>
      <c r="D3" s="172" t="s">
        <v>2313</v>
      </c>
      <c r="E3" s="172" t="s">
        <v>2314</v>
      </c>
      <c r="F3" s="172" t="s">
        <v>2326</v>
      </c>
      <c r="G3" s="172" t="s">
        <v>2327</v>
      </c>
      <c r="H3" s="172" t="s">
        <v>2328</v>
      </c>
      <c r="I3" s="172" t="s">
        <v>2329</v>
      </c>
      <c r="J3" s="172" t="s">
        <v>2315</v>
      </c>
      <c r="K3" s="172" t="s">
        <v>2316</v>
      </c>
      <c r="L3" s="172" t="s">
        <v>2317</v>
      </c>
      <c r="M3" s="172" t="s">
        <v>2318</v>
      </c>
      <c r="N3" s="172" t="s">
        <v>2319</v>
      </c>
      <c r="O3" s="172" t="s">
        <v>2320</v>
      </c>
      <c r="P3" s="172" t="s">
        <v>2321</v>
      </c>
      <c r="Q3" s="172" t="s">
        <v>2322</v>
      </c>
      <c r="R3" s="172" t="s">
        <v>2323</v>
      </c>
      <c r="S3" s="172" t="s">
        <v>2324</v>
      </c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3" ht="21" x14ac:dyDescent="0.25">
      <c r="A4" s="173" t="s">
        <v>1</v>
      </c>
      <c r="B4" s="174" t="s">
        <v>129</v>
      </c>
      <c r="C4" s="175" t="s">
        <v>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</row>
    <row r="5" spans="1:33" x14ac:dyDescent="0.25">
      <c r="A5" s="177" t="s">
        <v>3</v>
      </c>
      <c r="B5" s="178" t="s">
        <v>35</v>
      </c>
      <c r="C5" s="179" t="s">
        <v>4</v>
      </c>
      <c r="D5" s="180">
        <v>44256</v>
      </c>
      <c r="E5" s="180">
        <v>44256</v>
      </c>
      <c r="F5" s="180">
        <v>44256</v>
      </c>
      <c r="G5" s="180">
        <v>44256</v>
      </c>
      <c r="H5" s="180">
        <v>44256</v>
      </c>
      <c r="I5" s="180">
        <v>44256</v>
      </c>
      <c r="J5" s="180">
        <v>44256</v>
      </c>
      <c r="K5" s="180">
        <v>44256</v>
      </c>
      <c r="L5" s="180">
        <v>44256</v>
      </c>
      <c r="M5" s="180">
        <v>44256</v>
      </c>
      <c r="N5" s="180">
        <v>44256</v>
      </c>
      <c r="O5" s="180">
        <v>44256</v>
      </c>
      <c r="P5" s="180">
        <v>44256</v>
      </c>
      <c r="Q5" s="180">
        <v>44256</v>
      </c>
      <c r="R5" s="180">
        <v>44256</v>
      </c>
      <c r="S5" s="180">
        <v>44256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3" x14ac:dyDescent="0.25">
      <c r="A6" s="177" t="s">
        <v>5</v>
      </c>
      <c r="B6" s="178" t="s">
        <v>36</v>
      </c>
      <c r="C6" s="179" t="s">
        <v>4</v>
      </c>
      <c r="D6" s="180">
        <v>43831</v>
      </c>
      <c r="E6" s="180">
        <v>43831</v>
      </c>
      <c r="F6" s="180">
        <v>43831</v>
      </c>
      <c r="G6" s="180">
        <v>43831</v>
      </c>
      <c r="H6" s="180">
        <v>43831</v>
      </c>
      <c r="I6" s="180">
        <v>43831</v>
      </c>
      <c r="J6" s="180">
        <v>43831</v>
      </c>
      <c r="K6" s="180">
        <v>43831</v>
      </c>
      <c r="L6" s="180">
        <v>43831</v>
      </c>
      <c r="M6" s="180">
        <v>43831</v>
      </c>
      <c r="N6" s="180">
        <v>43831</v>
      </c>
      <c r="O6" s="180">
        <v>43831</v>
      </c>
      <c r="P6" s="180">
        <v>43831</v>
      </c>
      <c r="Q6" s="180">
        <v>43831</v>
      </c>
      <c r="R6" s="180">
        <v>43831</v>
      </c>
      <c r="S6" s="180">
        <v>43831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3" x14ac:dyDescent="0.25">
      <c r="A7" s="177" t="s">
        <v>6</v>
      </c>
      <c r="B7" s="178" t="s">
        <v>37</v>
      </c>
      <c r="C7" s="179" t="s">
        <v>4</v>
      </c>
      <c r="D7" s="180">
        <v>44196</v>
      </c>
      <c r="E7" s="180">
        <v>44196</v>
      </c>
      <c r="F7" s="180">
        <v>44196</v>
      </c>
      <c r="G7" s="180">
        <v>44196</v>
      </c>
      <c r="H7" s="180">
        <v>44196</v>
      </c>
      <c r="I7" s="180">
        <v>44196</v>
      </c>
      <c r="J7" s="180">
        <v>44196</v>
      </c>
      <c r="K7" s="180">
        <v>44196</v>
      </c>
      <c r="L7" s="180">
        <v>44196</v>
      </c>
      <c r="M7" s="180">
        <v>44196</v>
      </c>
      <c r="N7" s="180">
        <v>44196</v>
      </c>
      <c r="O7" s="180">
        <v>44196</v>
      </c>
      <c r="P7" s="180">
        <v>44196</v>
      </c>
      <c r="Q7" s="180">
        <v>44196</v>
      </c>
      <c r="R7" s="180">
        <v>44196</v>
      </c>
      <c r="S7" s="180">
        <v>44196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3" s="182" customFormat="1" ht="53.25" customHeight="1" x14ac:dyDescent="0.25">
      <c r="A8" s="219" t="s">
        <v>41</v>
      </c>
      <c r="B8" s="219"/>
      <c r="C8" s="219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232"/>
      <c r="AF8" s="232"/>
      <c r="AG8" s="233"/>
    </row>
    <row r="9" spans="1:33" ht="25.5" x14ac:dyDescent="0.25">
      <c r="A9" s="177" t="s">
        <v>7</v>
      </c>
      <c r="B9" s="178" t="s">
        <v>42</v>
      </c>
      <c r="C9" s="179" t="s">
        <v>38</v>
      </c>
      <c r="D9" s="183">
        <v>1680.06</v>
      </c>
      <c r="E9" s="183">
        <v>684.24</v>
      </c>
      <c r="F9" s="183">
        <v>0.31</v>
      </c>
      <c r="G9" s="183">
        <v>25.7</v>
      </c>
      <c r="H9" s="183">
        <v>20.58</v>
      </c>
      <c r="I9" s="183">
        <v>0</v>
      </c>
      <c r="J9" s="183">
        <v>451.34</v>
      </c>
      <c r="K9" s="183">
        <v>813.57</v>
      </c>
      <c r="L9" s="183">
        <v>0.54</v>
      </c>
      <c r="M9" s="183">
        <v>0</v>
      </c>
      <c r="N9" s="183">
        <v>0</v>
      </c>
      <c r="O9" s="183">
        <v>0</v>
      </c>
      <c r="P9" s="183">
        <v>0</v>
      </c>
      <c r="Q9" s="183">
        <v>0</v>
      </c>
      <c r="R9" s="183">
        <v>0.03</v>
      </c>
      <c r="S9" s="183">
        <v>0.79</v>
      </c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229">
        <f t="shared" ref="AE9:AE25" si="0">SUM(D9:S9)</f>
        <v>3677.1600000000003</v>
      </c>
    </row>
    <row r="10" spans="1:33" ht="25.5" x14ac:dyDescent="0.25">
      <c r="A10" s="177" t="s">
        <v>8</v>
      </c>
      <c r="B10" s="178" t="s">
        <v>43</v>
      </c>
      <c r="C10" s="179" t="s">
        <v>38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229">
        <f t="shared" si="0"/>
        <v>0</v>
      </c>
    </row>
    <row r="11" spans="1:33" ht="25.5" x14ac:dyDescent="0.25">
      <c r="A11" s="177" t="s">
        <v>9</v>
      </c>
      <c r="B11" s="178" t="s">
        <v>44</v>
      </c>
      <c r="C11" s="179" t="s">
        <v>38</v>
      </c>
      <c r="D11" s="184">
        <v>271391.63</v>
      </c>
      <c r="E11" s="184">
        <v>316278.09999999998</v>
      </c>
      <c r="F11" s="184">
        <v>318828.90000000002</v>
      </c>
      <c r="G11" s="184">
        <v>138123.76999999999</v>
      </c>
      <c r="H11" s="184">
        <v>171458.77</v>
      </c>
      <c r="I11" s="184">
        <v>0</v>
      </c>
      <c r="J11" s="184">
        <v>179304.91</v>
      </c>
      <c r="K11" s="184">
        <v>145759.37</v>
      </c>
      <c r="L11" s="184">
        <v>16309.26</v>
      </c>
      <c r="M11" s="184">
        <v>0</v>
      </c>
      <c r="N11" s="184">
        <v>0</v>
      </c>
      <c r="O11" s="184">
        <v>0</v>
      </c>
      <c r="P11" s="184">
        <v>16590.95</v>
      </c>
      <c r="Q11" s="184">
        <v>15040.38</v>
      </c>
      <c r="R11" s="184">
        <v>14049.17</v>
      </c>
      <c r="S11" s="184">
        <v>22500.11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229">
        <f t="shared" si="0"/>
        <v>1625635.3199999996</v>
      </c>
    </row>
    <row r="12" spans="1:33" ht="25.5" x14ac:dyDescent="0.25">
      <c r="A12" s="177" t="s">
        <v>10</v>
      </c>
      <c r="B12" s="178" t="s">
        <v>45</v>
      </c>
      <c r="C12" s="179" t="s">
        <v>38</v>
      </c>
      <c r="D12" s="184">
        <f>D13</f>
        <v>1888372.18</v>
      </c>
      <c r="E12" s="184">
        <f>E13</f>
        <v>1927225.11</v>
      </c>
      <c r="F12" s="184">
        <f t="shared" ref="F12:S12" si="1">F13</f>
        <v>770390.41</v>
      </c>
      <c r="G12" s="184">
        <f t="shared" si="1"/>
        <v>397159.4</v>
      </c>
      <c r="H12" s="184">
        <f t="shared" si="1"/>
        <v>928260.58</v>
      </c>
      <c r="I12" s="184">
        <f t="shared" si="1"/>
        <v>0</v>
      </c>
      <c r="J12" s="184">
        <f t="shared" si="1"/>
        <v>978380.45</v>
      </c>
      <c r="K12" s="184">
        <f t="shared" si="1"/>
        <v>866272.44</v>
      </c>
      <c r="L12" s="184">
        <f t="shared" si="1"/>
        <v>174402.16</v>
      </c>
      <c r="M12" s="184">
        <f t="shared" si="1"/>
        <v>0</v>
      </c>
      <c r="N12" s="184">
        <f t="shared" si="1"/>
        <v>0</v>
      </c>
      <c r="O12" s="184">
        <f t="shared" si="1"/>
        <v>0</v>
      </c>
      <c r="P12" s="184">
        <f t="shared" si="1"/>
        <v>117716.68</v>
      </c>
      <c r="Q12" s="184">
        <f t="shared" si="1"/>
        <v>121321.42</v>
      </c>
      <c r="R12" s="184">
        <f t="shared" si="1"/>
        <v>117060.72</v>
      </c>
      <c r="S12" s="184">
        <f t="shared" si="1"/>
        <v>115313.13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229">
        <f t="shared" si="0"/>
        <v>8401874.6799999997</v>
      </c>
      <c r="AG12" s="229"/>
    </row>
    <row r="13" spans="1:33" x14ac:dyDescent="0.25">
      <c r="A13" s="177" t="s">
        <v>11</v>
      </c>
      <c r="B13" s="185" t="s">
        <v>130</v>
      </c>
      <c r="C13" s="179" t="s">
        <v>38</v>
      </c>
      <c r="D13" s="184">
        <v>1888372.18</v>
      </c>
      <c r="E13" s="184">
        <v>1927225.11</v>
      </c>
      <c r="F13" s="184">
        <v>770390.41</v>
      </c>
      <c r="G13" s="184">
        <v>397159.4</v>
      </c>
      <c r="H13" s="184">
        <v>928260.58</v>
      </c>
      <c r="I13" s="184">
        <v>0</v>
      </c>
      <c r="J13" s="184">
        <v>978380.45</v>
      </c>
      <c r="K13" s="184">
        <v>866272.44</v>
      </c>
      <c r="L13" s="184">
        <v>174402.16</v>
      </c>
      <c r="M13" s="184">
        <v>0</v>
      </c>
      <c r="N13" s="184">
        <v>0</v>
      </c>
      <c r="O13" s="184">
        <v>0</v>
      </c>
      <c r="P13" s="184">
        <v>117716.68</v>
      </c>
      <c r="Q13" s="184">
        <v>121321.42</v>
      </c>
      <c r="R13" s="184">
        <v>117060.72</v>
      </c>
      <c r="S13" s="184">
        <v>115313.13</v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229">
        <f t="shared" si="0"/>
        <v>8401874.6799999997</v>
      </c>
    </row>
    <row r="14" spans="1:33" ht="54.75" customHeight="1" x14ac:dyDescent="0.25">
      <c r="A14" s="177" t="s">
        <v>12</v>
      </c>
      <c r="B14" s="185" t="s">
        <v>131</v>
      </c>
      <c r="C14" s="179" t="s">
        <v>38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229">
        <f t="shared" si="0"/>
        <v>0</v>
      </c>
    </row>
    <row r="15" spans="1:33" x14ac:dyDescent="0.25">
      <c r="A15" s="177" t="s">
        <v>13</v>
      </c>
      <c r="B15" s="185" t="s">
        <v>132</v>
      </c>
      <c r="C15" s="179" t="s">
        <v>38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229">
        <f t="shared" si="0"/>
        <v>0</v>
      </c>
    </row>
    <row r="16" spans="1:33" x14ac:dyDescent="0.25">
      <c r="A16" s="177" t="s">
        <v>14</v>
      </c>
      <c r="B16" s="178" t="s">
        <v>46</v>
      </c>
      <c r="C16" s="179" t="s">
        <v>38</v>
      </c>
      <c r="D16" s="184">
        <f>SUM(D17:D21)</f>
        <v>1809671.44</v>
      </c>
      <c r="E16" s="184">
        <f t="shared" ref="E16:S16" si="2">SUM(E17:E21)</f>
        <v>1809504.29</v>
      </c>
      <c r="F16" s="184">
        <f t="shared" si="2"/>
        <v>332138.15999999997</v>
      </c>
      <c r="G16" s="184">
        <f t="shared" si="2"/>
        <v>235283.35</v>
      </c>
      <c r="H16" s="184">
        <f t="shared" si="2"/>
        <v>730205.79</v>
      </c>
      <c r="I16" s="184">
        <f t="shared" si="2"/>
        <v>0</v>
      </c>
      <c r="J16" s="184">
        <f t="shared" si="2"/>
        <v>908409.23</v>
      </c>
      <c r="K16" s="184">
        <f t="shared" si="2"/>
        <v>811736.91</v>
      </c>
      <c r="L16" s="184">
        <f t="shared" si="2"/>
        <v>180055.07</v>
      </c>
      <c r="M16" s="184">
        <f t="shared" si="2"/>
        <v>0</v>
      </c>
      <c r="N16" s="184">
        <f t="shared" si="2"/>
        <v>0</v>
      </c>
      <c r="O16" s="184">
        <f t="shared" si="2"/>
        <v>0</v>
      </c>
      <c r="P16" s="184">
        <f t="shared" si="2"/>
        <v>127938.61</v>
      </c>
      <c r="Q16" s="184">
        <f t="shared" si="2"/>
        <v>103013.69</v>
      </c>
      <c r="R16" s="184">
        <f t="shared" si="2"/>
        <v>126665.58</v>
      </c>
      <c r="S16" s="184">
        <f t="shared" si="2"/>
        <v>74850.28</v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229">
        <f t="shared" si="0"/>
        <v>7249472.4000000013</v>
      </c>
    </row>
    <row r="17" spans="1:33" ht="38.25" x14ac:dyDescent="0.25">
      <c r="A17" s="177" t="s">
        <v>15</v>
      </c>
      <c r="B17" s="185" t="s">
        <v>133</v>
      </c>
      <c r="C17" s="179" t="s">
        <v>38</v>
      </c>
      <c r="D17" s="184">
        <v>1809671.44</v>
      </c>
      <c r="E17" s="184">
        <v>1809504.29</v>
      </c>
      <c r="F17" s="184">
        <v>332138.15999999997</v>
      </c>
      <c r="G17" s="184">
        <v>235283.35</v>
      </c>
      <c r="H17" s="184">
        <v>730205.79</v>
      </c>
      <c r="I17" s="184">
        <v>0</v>
      </c>
      <c r="J17" s="184">
        <v>908409.23</v>
      </c>
      <c r="K17" s="184">
        <v>811736.91</v>
      </c>
      <c r="L17" s="184">
        <v>180055.07</v>
      </c>
      <c r="M17" s="184">
        <v>0</v>
      </c>
      <c r="N17" s="184">
        <v>0</v>
      </c>
      <c r="O17" s="184">
        <v>0</v>
      </c>
      <c r="P17" s="184">
        <v>127938.61</v>
      </c>
      <c r="Q17" s="184">
        <v>103013.69</v>
      </c>
      <c r="R17" s="184">
        <v>126665.58</v>
      </c>
      <c r="S17" s="184">
        <v>74850.28</v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229">
        <f>SUM(D17:S17)</f>
        <v>7249472.4000000013</v>
      </c>
    </row>
    <row r="18" spans="1:33" ht="38.25" x14ac:dyDescent="0.25">
      <c r="A18" s="177" t="s">
        <v>16</v>
      </c>
      <c r="B18" s="185" t="s">
        <v>134</v>
      </c>
      <c r="C18" s="179" t="s">
        <v>38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229">
        <f t="shared" si="0"/>
        <v>0</v>
      </c>
    </row>
    <row r="19" spans="1:33" x14ac:dyDescent="0.25">
      <c r="A19" s="177" t="s">
        <v>17</v>
      </c>
      <c r="B19" s="185" t="s">
        <v>135</v>
      </c>
      <c r="C19" s="179" t="s">
        <v>38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229">
        <f t="shared" si="0"/>
        <v>0</v>
      </c>
    </row>
    <row r="20" spans="1:33" ht="25.5" x14ac:dyDescent="0.25">
      <c r="A20" s="177" t="s">
        <v>18</v>
      </c>
      <c r="B20" s="185" t="s">
        <v>136</v>
      </c>
      <c r="C20" s="179" t="s">
        <v>38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229">
        <f t="shared" si="0"/>
        <v>0</v>
      </c>
    </row>
    <row r="21" spans="1:33" x14ac:dyDescent="0.25">
      <c r="A21" s="177" t="s">
        <v>19</v>
      </c>
      <c r="B21" s="185" t="s">
        <v>159</v>
      </c>
      <c r="C21" s="179" t="s">
        <v>38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229">
        <f t="shared" si="0"/>
        <v>0</v>
      </c>
    </row>
    <row r="22" spans="1:33" x14ac:dyDescent="0.25">
      <c r="A22" s="177" t="s">
        <v>20</v>
      </c>
      <c r="B22" s="178" t="s">
        <v>47</v>
      </c>
      <c r="C22" s="179" t="s">
        <v>38</v>
      </c>
      <c r="D22" s="184">
        <f>D16+D9</f>
        <v>1811351.5</v>
      </c>
      <c r="E22" s="184">
        <f t="shared" ref="E22:S22" si="3">E16+E9</f>
        <v>1810188.53</v>
      </c>
      <c r="F22" s="184">
        <f t="shared" si="3"/>
        <v>332138.46999999997</v>
      </c>
      <c r="G22" s="184">
        <f t="shared" si="3"/>
        <v>235309.05000000002</v>
      </c>
      <c r="H22" s="184">
        <f t="shared" si="3"/>
        <v>730226.37</v>
      </c>
      <c r="I22" s="184">
        <f t="shared" si="3"/>
        <v>0</v>
      </c>
      <c r="J22" s="184">
        <f t="shared" si="3"/>
        <v>908860.57</v>
      </c>
      <c r="K22" s="184">
        <f t="shared" si="3"/>
        <v>812550.48</v>
      </c>
      <c r="L22" s="184">
        <f t="shared" si="3"/>
        <v>180055.61000000002</v>
      </c>
      <c r="M22" s="184">
        <f t="shared" si="3"/>
        <v>0</v>
      </c>
      <c r="N22" s="184">
        <f t="shared" si="3"/>
        <v>0</v>
      </c>
      <c r="O22" s="184">
        <f t="shared" si="3"/>
        <v>0</v>
      </c>
      <c r="P22" s="184">
        <f t="shared" si="3"/>
        <v>127938.61</v>
      </c>
      <c r="Q22" s="184">
        <f t="shared" si="3"/>
        <v>103013.69</v>
      </c>
      <c r="R22" s="184">
        <f t="shared" si="3"/>
        <v>126665.61</v>
      </c>
      <c r="S22" s="184">
        <f t="shared" si="3"/>
        <v>74851.069999999992</v>
      </c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29">
        <f t="shared" si="0"/>
        <v>7253149.5600000024</v>
      </c>
    </row>
    <row r="23" spans="1:33" ht="25.5" x14ac:dyDescent="0.25">
      <c r="A23" s="177" t="s">
        <v>21</v>
      </c>
      <c r="B23" s="178" t="s">
        <v>48</v>
      </c>
      <c r="C23" s="179" t="s">
        <v>38</v>
      </c>
      <c r="D23" s="184">
        <v>7598.95</v>
      </c>
      <c r="E23" s="184">
        <v>23655.72</v>
      </c>
      <c r="F23" s="184">
        <v>652.29</v>
      </c>
      <c r="G23" s="184">
        <v>0</v>
      </c>
      <c r="H23" s="184">
        <v>0</v>
      </c>
      <c r="I23" s="184">
        <v>0</v>
      </c>
      <c r="J23" s="184">
        <v>6535.92</v>
      </c>
      <c r="K23" s="184">
        <v>1056.9100000000001</v>
      </c>
      <c r="L23" s="184">
        <v>83.57</v>
      </c>
      <c r="M23" s="184">
        <v>0</v>
      </c>
      <c r="N23" s="184">
        <v>0</v>
      </c>
      <c r="O23" s="184">
        <v>0</v>
      </c>
      <c r="P23" s="184">
        <v>0.12</v>
      </c>
      <c r="Q23" s="184">
        <v>0</v>
      </c>
      <c r="R23" s="184">
        <v>8.5500000000000007</v>
      </c>
      <c r="S23" s="184">
        <v>0</v>
      </c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229">
        <f t="shared" si="0"/>
        <v>39592.030000000013</v>
      </c>
    </row>
    <row r="24" spans="1:33" ht="25.5" x14ac:dyDescent="0.25">
      <c r="A24" s="177" t="s">
        <v>22</v>
      </c>
      <c r="B24" s="178" t="s">
        <v>49</v>
      </c>
      <c r="C24" s="179" t="s">
        <v>38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29">
        <f t="shared" si="0"/>
        <v>0</v>
      </c>
    </row>
    <row r="25" spans="1:33" ht="25.5" x14ac:dyDescent="0.25">
      <c r="A25" s="177" t="s">
        <v>23</v>
      </c>
      <c r="B25" s="178" t="s">
        <v>50</v>
      </c>
      <c r="C25" s="179" t="s">
        <v>38</v>
      </c>
      <c r="D25" s="184">
        <f>D11-D9+D12-D16+D23</f>
        <v>356011.26000000007</v>
      </c>
      <c r="E25" s="184">
        <f t="shared" ref="E25:S25" si="4">E11-E9+E12-E16+E23</f>
        <v>456970.40000000014</v>
      </c>
      <c r="F25" s="184">
        <f t="shared" si="4"/>
        <v>757733.13000000012</v>
      </c>
      <c r="G25" s="184">
        <f t="shared" si="4"/>
        <v>299974.12</v>
      </c>
      <c r="H25" s="184">
        <f t="shared" si="4"/>
        <v>369492.98</v>
      </c>
      <c r="I25" s="184">
        <f t="shared" si="4"/>
        <v>0</v>
      </c>
      <c r="J25" s="184">
        <f t="shared" si="4"/>
        <v>255360.71000000005</v>
      </c>
      <c r="K25" s="184">
        <f t="shared" si="4"/>
        <v>200538.23999999996</v>
      </c>
      <c r="L25" s="184">
        <f t="shared" si="4"/>
        <v>10739.379999999997</v>
      </c>
      <c r="M25" s="184">
        <f t="shared" si="4"/>
        <v>0</v>
      </c>
      <c r="N25" s="184">
        <f t="shared" si="4"/>
        <v>0</v>
      </c>
      <c r="O25" s="184">
        <f t="shared" si="4"/>
        <v>0</v>
      </c>
      <c r="P25" s="184">
        <f t="shared" si="4"/>
        <v>6369.140000000004</v>
      </c>
      <c r="Q25" s="184">
        <f t="shared" si="4"/>
        <v>33348.109999999986</v>
      </c>
      <c r="R25" s="184">
        <f t="shared" si="4"/>
        <v>4452.8299999999845</v>
      </c>
      <c r="S25" s="184">
        <f t="shared" si="4"/>
        <v>62962.170000000013</v>
      </c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229">
        <f t="shared" si="0"/>
        <v>2813952.4699999997</v>
      </c>
    </row>
    <row r="26" spans="1:33" ht="43.5" customHeight="1" x14ac:dyDescent="0.25">
      <c r="A26" s="219" t="s">
        <v>137</v>
      </c>
      <c r="B26" s="219"/>
      <c r="C26" s="219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</row>
    <row r="27" spans="1:33" s="189" customFormat="1" ht="63.75" x14ac:dyDescent="0.25">
      <c r="A27" s="187" t="s">
        <v>202</v>
      </c>
      <c r="B27" s="174" t="s">
        <v>39</v>
      </c>
      <c r="C27" s="179" t="s">
        <v>4</v>
      </c>
      <c r="D27" s="188" t="s">
        <v>354</v>
      </c>
      <c r="E27" s="176" t="s">
        <v>354</v>
      </c>
      <c r="F27" s="176" t="s">
        <v>354</v>
      </c>
      <c r="G27" s="176" t="s">
        <v>354</v>
      </c>
      <c r="H27" s="176" t="s">
        <v>354</v>
      </c>
      <c r="I27" s="176" t="s">
        <v>354</v>
      </c>
      <c r="J27" s="176" t="s">
        <v>354</v>
      </c>
      <c r="K27" s="176" t="s">
        <v>354</v>
      </c>
      <c r="L27" s="176" t="s">
        <v>354</v>
      </c>
      <c r="M27" s="176" t="s">
        <v>354</v>
      </c>
      <c r="N27" s="176" t="s">
        <v>354</v>
      </c>
      <c r="O27" s="176" t="s">
        <v>354</v>
      </c>
      <c r="P27" s="176" t="s">
        <v>354</v>
      </c>
      <c r="Q27" s="176" t="s">
        <v>354</v>
      </c>
      <c r="R27" s="176" t="s">
        <v>354</v>
      </c>
      <c r="S27" s="176" t="s">
        <v>354</v>
      </c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234"/>
      <c r="AF27" s="234"/>
      <c r="AG27" s="235"/>
    </row>
    <row r="28" spans="1:33" s="191" customFormat="1" x14ac:dyDescent="0.25">
      <c r="A28" s="177" t="s">
        <v>203</v>
      </c>
      <c r="B28" s="179" t="s">
        <v>51</v>
      </c>
      <c r="C28" s="179" t="s">
        <v>38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151500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236">
        <f>SUM(D28:AD28)</f>
        <v>151500</v>
      </c>
      <c r="AF28" s="236"/>
      <c r="AG28" s="237"/>
    </row>
    <row r="29" spans="1:33" s="189" customFormat="1" ht="114.75" x14ac:dyDescent="0.25">
      <c r="A29" s="176" t="s">
        <v>165</v>
      </c>
      <c r="B29" s="174" t="s">
        <v>52</v>
      </c>
      <c r="C29" s="179" t="s">
        <v>4</v>
      </c>
      <c r="D29" s="177" t="s">
        <v>355</v>
      </c>
      <c r="E29" s="177" t="s">
        <v>355</v>
      </c>
      <c r="F29" s="177" t="s">
        <v>355</v>
      </c>
      <c r="G29" s="177" t="s">
        <v>355</v>
      </c>
      <c r="H29" s="177" t="s">
        <v>355</v>
      </c>
      <c r="I29" s="177" t="s">
        <v>355</v>
      </c>
      <c r="J29" s="177" t="s">
        <v>355</v>
      </c>
      <c r="K29" s="177" t="s">
        <v>355</v>
      </c>
      <c r="L29" s="177" t="s">
        <v>355</v>
      </c>
      <c r="M29" s="177" t="s">
        <v>355</v>
      </c>
      <c r="N29" s="177" t="s">
        <v>355</v>
      </c>
      <c r="O29" s="177" t="s">
        <v>355</v>
      </c>
      <c r="P29" s="177" t="s">
        <v>355</v>
      </c>
      <c r="Q29" s="177" t="s">
        <v>355</v>
      </c>
      <c r="R29" s="177" t="s">
        <v>355</v>
      </c>
      <c r="S29" s="177" t="s">
        <v>355</v>
      </c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234"/>
      <c r="AF29" s="234"/>
      <c r="AG29" s="235"/>
    </row>
    <row r="30" spans="1:33" s="189" customFormat="1" ht="25.5" x14ac:dyDescent="0.25">
      <c r="A30" s="192" t="s">
        <v>166</v>
      </c>
      <c r="B30" s="193" t="s">
        <v>53</v>
      </c>
      <c r="C30" s="179" t="s">
        <v>4</v>
      </c>
      <c r="D30" s="177" t="s">
        <v>356</v>
      </c>
      <c r="E30" s="177" t="s">
        <v>356</v>
      </c>
      <c r="F30" s="177" t="s">
        <v>356</v>
      </c>
      <c r="G30" s="177" t="s">
        <v>356</v>
      </c>
      <c r="H30" s="177" t="s">
        <v>356</v>
      </c>
      <c r="I30" s="177" t="s">
        <v>356</v>
      </c>
      <c r="J30" s="177" t="s">
        <v>356</v>
      </c>
      <c r="K30" s="177" t="s">
        <v>356</v>
      </c>
      <c r="L30" s="177" t="s">
        <v>356</v>
      </c>
      <c r="M30" s="177" t="s">
        <v>356</v>
      </c>
      <c r="N30" s="177" t="s">
        <v>356</v>
      </c>
      <c r="O30" s="177" t="s">
        <v>356</v>
      </c>
      <c r="P30" s="177" t="s">
        <v>356</v>
      </c>
      <c r="Q30" s="177" t="s">
        <v>356</v>
      </c>
      <c r="R30" s="177" t="s">
        <v>356</v>
      </c>
      <c r="S30" s="177" t="s">
        <v>356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234"/>
      <c r="AF30" s="234"/>
      <c r="AG30" s="235"/>
    </row>
    <row r="31" spans="1:33" s="189" customFormat="1" x14ac:dyDescent="0.25">
      <c r="A31" s="177" t="s">
        <v>167</v>
      </c>
      <c r="B31" s="193" t="s">
        <v>2</v>
      </c>
      <c r="C31" s="179" t="s">
        <v>4</v>
      </c>
      <c r="D31" s="181" t="s">
        <v>357</v>
      </c>
      <c r="E31" s="181" t="s">
        <v>357</v>
      </c>
      <c r="F31" s="181" t="s">
        <v>357</v>
      </c>
      <c r="G31" s="181" t="s">
        <v>357</v>
      </c>
      <c r="H31" s="181" t="s">
        <v>357</v>
      </c>
      <c r="I31" s="181" t="s">
        <v>357</v>
      </c>
      <c r="J31" s="181" t="s">
        <v>357</v>
      </c>
      <c r="K31" s="181" t="s">
        <v>357</v>
      </c>
      <c r="L31" s="181" t="s">
        <v>357</v>
      </c>
      <c r="M31" s="181" t="s">
        <v>357</v>
      </c>
      <c r="N31" s="181" t="s">
        <v>357</v>
      </c>
      <c r="O31" s="181" t="s">
        <v>357</v>
      </c>
      <c r="P31" s="181" t="s">
        <v>357</v>
      </c>
      <c r="Q31" s="181" t="s">
        <v>357</v>
      </c>
      <c r="R31" s="181" t="s">
        <v>357</v>
      </c>
      <c r="S31" s="181" t="s">
        <v>357</v>
      </c>
      <c r="T31" s="181"/>
      <c r="U31" s="181"/>
      <c r="V31" s="181"/>
      <c r="W31" s="181"/>
      <c r="X31" s="181"/>
      <c r="Y31" s="181"/>
      <c r="Z31" s="194"/>
      <c r="AA31" s="181"/>
      <c r="AB31" s="181"/>
      <c r="AC31" s="181"/>
      <c r="AD31" s="194"/>
      <c r="AE31" s="234"/>
      <c r="AF31" s="234"/>
      <c r="AG31" s="235"/>
    </row>
    <row r="32" spans="1:33" s="191" customFormat="1" x14ac:dyDescent="0.25">
      <c r="A32" s="177" t="s">
        <v>168</v>
      </c>
      <c r="B32" s="179" t="s">
        <v>54</v>
      </c>
      <c r="C32" s="179" t="s">
        <v>38</v>
      </c>
      <c r="D32" s="190">
        <f t="shared" ref="D32:I32" si="5">D28/D$2</f>
        <v>0</v>
      </c>
      <c r="E32" s="190">
        <f t="shared" si="5"/>
        <v>0</v>
      </c>
      <c r="F32" s="190">
        <f t="shared" si="5"/>
        <v>0</v>
      </c>
      <c r="G32" s="190">
        <f t="shared" si="5"/>
        <v>0</v>
      </c>
      <c r="H32" s="190">
        <f t="shared" si="5"/>
        <v>0</v>
      </c>
      <c r="I32" s="190" t="e">
        <f t="shared" si="5"/>
        <v>#DIV/0!</v>
      </c>
      <c r="J32" s="190">
        <f>J28/J$2</f>
        <v>47.686046401828122</v>
      </c>
      <c r="K32" s="190">
        <f t="shared" ref="K32:S32" si="6">K28/K$2</f>
        <v>0</v>
      </c>
      <c r="L32" s="190">
        <f t="shared" si="6"/>
        <v>0</v>
      </c>
      <c r="M32" s="190">
        <f t="shared" si="6"/>
        <v>0</v>
      </c>
      <c r="N32" s="190">
        <f t="shared" si="6"/>
        <v>0</v>
      </c>
      <c r="O32" s="190">
        <f t="shared" si="6"/>
        <v>0</v>
      </c>
      <c r="P32" s="190">
        <f t="shared" si="6"/>
        <v>0</v>
      </c>
      <c r="Q32" s="190">
        <f t="shared" si="6"/>
        <v>0</v>
      </c>
      <c r="R32" s="190">
        <f t="shared" si="6"/>
        <v>0</v>
      </c>
      <c r="S32" s="190">
        <f t="shared" si="6"/>
        <v>0</v>
      </c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236"/>
      <c r="AF32" s="236"/>
      <c r="AG32" s="237"/>
    </row>
    <row r="33" spans="1:33" s="189" customFormat="1" ht="76.5" outlineLevel="1" x14ac:dyDescent="0.25">
      <c r="A33" s="187" t="s">
        <v>202</v>
      </c>
      <c r="B33" s="174" t="s">
        <v>39</v>
      </c>
      <c r="C33" s="179" t="s">
        <v>4</v>
      </c>
      <c r="D33" s="176" t="s">
        <v>358</v>
      </c>
      <c r="E33" s="176" t="s">
        <v>358</v>
      </c>
      <c r="F33" s="176" t="s">
        <v>358</v>
      </c>
      <c r="G33" s="176" t="s">
        <v>358</v>
      </c>
      <c r="H33" s="176" t="s">
        <v>358</v>
      </c>
      <c r="I33" s="176" t="s">
        <v>358</v>
      </c>
      <c r="J33" s="176" t="s">
        <v>358</v>
      </c>
      <c r="K33" s="176" t="s">
        <v>358</v>
      </c>
      <c r="L33" s="176" t="s">
        <v>358</v>
      </c>
      <c r="M33" s="176" t="s">
        <v>358</v>
      </c>
      <c r="N33" s="176" t="s">
        <v>358</v>
      </c>
      <c r="O33" s="176" t="s">
        <v>358</v>
      </c>
      <c r="P33" s="176" t="s">
        <v>358</v>
      </c>
      <c r="Q33" s="176" t="s">
        <v>358</v>
      </c>
      <c r="R33" s="176" t="s">
        <v>358</v>
      </c>
      <c r="S33" s="176" t="s">
        <v>358</v>
      </c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234"/>
      <c r="AF33" s="234"/>
      <c r="AG33" s="235"/>
    </row>
    <row r="34" spans="1:33" s="189" customFormat="1" ht="25.5" outlineLevel="1" x14ac:dyDescent="0.25">
      <c r="A34" s="177" t="s">
        <v>203</v>
      </c>
      <c r="B34" s="193" t="s">
        <v>51</v>
      </c>
      <c r="C34" s="179" t="s">
        <v>38</v>
      </c>
      <c r="D34" s="190">
        <f>25107.7+18022.14+23.65+11804.66+1043.63+11840+251.51+520.24+223+12752.8+41.56+111056.88/$AE$2*D$2</f>
        <v>102053.8165383233</v>
      </c>
      <c r="E34" s="190">
        <f>13901.35+11472.07+23.73+5722.24+1047.49+252.44+522.16+174+12752.8+41.72+111056.88/$AE$2*E2</f>
        <v>66373.442736875353</v>
      </c>
      <c r="F34" s="190">
        <f>6808.85+14248.91+15.74+4380.84+694.53+167.38+346.22+122+27.66+111056.88/$AE$2*F2</f>
        <v>36014.8320074847</v>
      </c>
      <c r="G34" s="190">
        <f>6522.04+11549.55+17.5+1379.07+772.55+186.18+385.11+30.77+111056.88/$AE$2*G2</f>
        <v>26928.487187058869</v>
      </c>
      <c r="H34" s="190">
        <f>8633.67+16092.36+14.47+5808.99+638.56+153.89+318.32+122+17040+5000+25.43+111056.88/$AE$2*H2</f>
        <v>66388.37427455814</v>
      </c>
      <c r="I34" s="190">
        <f>14020.01+7956.97+17.51+2710.47+772.96+186.28+385.31+208+30.78+111056.88/$AE$2*I2</f>
        <v>26288.289999999997</v>
      </c>
      <c r="J34" s="190">
        <f>11012.59+8854.98+17.18+4901.67+758.1+182.7+377.91+178+63640+10200+30.19+111056.88/$AE$2*J2</f>
        <v>114780.7266233936</v>
      </c>
      <c r="K34" s="190">
        <f>12401.93+53810.87+16.9+2243.03+745.66+179.7+371.71+126+31820+7000+29.7+111056.88/$AE$2*K2</f>
        <v>123300.02350713458</v>
      </c>
      <c r="L34" s="190">
        <f>1070.62+3253.54+3.48+3012.09+153.68+37.04+76.61+38+13120+1200+6.12+111056.88/$AE$2*L2</f>
        <v>24978.586919796377</v>
      </c>
      <c r="M34" s="190">
        <f>104+1940+111056.88/$AE$2*M2</f>
        <v>2626.8807655331011</v>
      </c>
      <c r="N34" s="190">
        <f>3880+111056.88/$AE$2*N2</f>
        <v>4510.3031342929025</v>
      </c>
      <c r="O34" s="190">
        <f>1940+111056.88/$AE$2*O2</f>
        <v>2749.4031483469125</v>
      </c>
      <c r="P34" s="190">
        <f>3509.85+2910.21+2.35+1297.98+103.64+24.98+51.66+8320+1000+4.13+111056.88/$AE$2*P2</f>
        <v>19252.911984339105</v>
      </c>
      <c r="Q34" s="190">
        <f>5173.05+1571.22+2.42+2055.53+106.91+25.76+53.29+4160+1200+4.26+111056.88/$AE$2*Q2</f>
        <v>16444.549161597482</v>
      </c>
      <c r="R34" s="190">
        <f>1876.49+4749.8+2.33+2565.38+102.96+24.81+51.32+4160+800+4.1+111056.88/$AE$2*R2</f>
        <v>16351.950055270812</v>
      </c>
      <c r="S34" s="190">
        <f>5203.8+7411.84+2.31+3762.57+101.92+24.56+50.81+54+4160+400+4.06+111056.88/$AE$2*S2</f>
        <v>23170.371955994786</v>
      </c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234">
        <f>SUM(D34:AD34)</f>
        <v>672212.95000000007</v>
      </c>
      <c r="AF34" s="234">
        <v>672212.95</v>
      </c>
      <c r="AG34" s="235"/>
    </row>
    <row r="35" spans="1:33" s="189" customFormat="1" ht="127.5" outlineLevel="1" x14ac:dyDescent="0.25">
      <c r="A35" s="188" t="s">
        <v>204</v>
      </c>
      <c r="B35" s="174" t="s">
        <v>52</v>
      </c>
      <c r="C35" s="179" t="s">
        <v>4</v>
      </c>
      <c r="D35" s="177" t="s">
        <v>359</v>
      </c>
      <c r="E35" s="177" t="s">
        <v>359</v>
      </c>
      <c r="F35" s="177" t="s">
        <v>359</v>
      </c>
      <c r="G35" s="177" t="s">
        <v>359</v>
      </c>
      <c r="H35" s="177" t="s">
        <v>359</v>
      </c>
      <c r="I35" s="177" t="s">
        <v>359</v>
      </c>
      <c r="J35" s="177" t="s">
        <v>359</v>
      </c>
      <c r="K35" s="177" t="s">
        <v>359</v>
      </c>
      <c r="L35" s="177" t="s">
        <v>359</v>
      </c>
      <c r="M35" s="177" t="s">
        <v>359</v>
      </c>
      <c r="N35" s="177" t="s">
        <v>359</v>
      </c>
      <c r="O35" s="177" t="s">
        <v>359</v>
      </c>
      <c r="P35" s="177" t="s">
        <v>359</v>
      </c>
      <c r="Q35" s="177" t="s">
        <v>359</v>
      </c>
      <c r="R35" s="177" t="s">
        <v>359</v>
      </c>
      <c r="S35" s="177" t="s">
        <v>359</v>
      </c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234"/>
      <c r="AF35" s="234"/>
      <c r="AG35" s="235"/>
    </row>
    <row r="36" spans="1:33" s="189" customFormat="1" ht="25.5" outlineLevel="1" x14ac:dyDescent="0.25">
      <c r="A36" s="179" t="s">
        <v>205</v>
      </c>
      <c r="B36" s="193" t="s">
        <v>53</v>
      </c>
      <c r="C36" s="179" t="s">
        <v>4</v>
      </c>
      <c r="D36" s="177" t="s">
        <v>356</v>
      </c>
      <c r="E36" s="177" t="s">
        <v>356</v>
      </c>
      <c r="F36" s="177" t="s">
        <v>356</v>
      </c>
      <c r="G36" s="177" t="s">
        <v>356</v>
      </c>
      <c r="H36" s="177" t="s">
        <v>356</v>
      </c>
      <c r="I36" s="177" t="s">
        <v>356</v>
      </c>
      <c r="J36" s="177" t="s">
        <v>356</v>
      </c>
      <c r="K36" s="177" t="s">
        <v>356</v>
      </c>
      <c r="L36" s="177" t="s">
        <v>356</v>
      </c>
      <c r="M36" s="177" t="s">
        <v>356</v>
      </c>
      <c r="N36" s="177" t="s">
        <v>356</v>
      </c>
      <c r="O36" s="177" t="s">
        <v>356</v>
      </c>
      <c r="P36" s="177" t="s">
        <v>356</v>
      </c>
      <c r="Q36" s="177" t="s">
        <v>356</v>
      </c>
      <c r="R36" s="177" t="s">
        <v>356</v>
      </c>
      <c r="S36" s="177" t="s">
        <v>356</v>
      </c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234"/>
      <c r="AF36" s="234"/>
      <c r="AG36" s="235"/>
    </row>
    <row r="37" spans="1:33" s="189" customFormat="1" outlineLevel="1" x14ac:dyDescent="0.25">
      <c r="A37" s="179" t="s">
        <v>206</v>
      </c>
      <c r="B37" s="193" t="s">
        <v>2</v>
      </c>
      <c r="C37" s="179" t="s">
        <v>4</v>
      </c>
      <c r="D37" s="181" t="s">
        <v>357</v>
      </c>
      <c r="E37" s="181" t="s">
        <v>357</v>
      </c>
      <c r="F37" s="181" t="s">
        <v>357</v>
      </c>
      <c r="G37" s="181" t="s">
        <v>357</v>
      </c>
      <c r="H37" s="181" t="s">
        <v>357</v>
      </c>
      <c r="I37" s="181" t="s">
        <v>357</v>
      </c>
      <c r="J37" s="181" t="s">
        <v>357</v>
      </c>
      <c r="K37" s="181" t="s">
        <v>357</v>
      </c>
      <c r="L37" s="181" t="s">
        <v>357</v>
      </c>
      <c r="M37" s="181" t="s">
        <v>357</v>
      </c>
      <c r="N37" s="181" t="s">
        <v>357</v>
      </c>
      <c r="O37" s="181" t="s">
        <v>357</v>
      </c>
      <c r="P37" s="181" t="s">
        <v>357</v>
      </c>
      <c r="Q37" s="181" t="s">
        <v>357</v>
      </c>
      <c r="R37" s="181" t="s">
        <v>357</v>
      </c>
      <c r="S37" s="181" t="s">
        <v>357</v>
      </c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234"/>
      <c r="AF37" s="234"/>
      <c r="AG37" s="235"/>
    </row>
    <row r="38" spans="1:33" s="189" customFormat="1" outlineLevel="1" x14ac:dyDescent="0.25">
      <c r="A38" s="179" t="s">
        <v>207</v>
      </c>
      <c r="B38" s="193" t="s">
        <v>54</v>
      </c>
      <c r="C38" s="179" t="s">
        <v>38</v>
      </c>
      <c r="D38" s="190">
        <f t="shared" ref="D38:I38" si="7">D34/D$2</f>
        <v>23.006857058100746</v>
      </c>
      <c r="E38" s="190">
        <f t="shared" si="7"/>
        <v>14.93350194322894</v>
      </c>
      <c r="F38" s="190">
        <f t="shared" si="7"/>
        <v>18.018226939906295</v>
      </c>
      <c r="G38" s="190">
        <f t="shared" si="7"/>
        <v>20.372588278906694</v>
      </c>
      <c r="H38" s="190">
        <f t="shared" si="7"/>
        <v>24.373439413524537</v>
      </c>
      <c r="I38" s="190" t="e">
        <f t="shared" si="7"/>
        <v>#DIV/0!</v>
      </c>
      <c r="J38" s="190">
        <f>J34/J$2</f>
        <v>36.128310599331321</v>
      </c>
      <c r="K38" s="190">
        <f t="shared" ref="K38:S38" si="8">K34/K$2</f>
        <v>39.004183065650572</v>
      </c>
      <c r="L38" s="190">
        <f t="shared" si="8"/>
        <v>38.240335149718881</v>
      </c>
      <c r="M38" s="190">
        <f t="shared" si="8"/>
        <v>20.749453124274101</v>
      </c>
      <c r="N38" s="190">
        <f t="shared" si="8"/>
        <v>32.945968840707835</v>
      </c>
      <c r="O38" s="190">
        <f t="shared" si="8"/>
        <v>15.639380821085963</v>
      </c>
      <c r="P38" s="190">
        <f t="shared" si="8"/>
        <v>43.706951156274926</v>
      </c>
      <c r="Q38" s="190">
        <f t="shared" si="8"/>
        <v>36.189588823938124</v>
      </c>
      <c r="R38" s="190">
        <f t="shared" si="8"/>
        <v>37.3673447332514</v>
      </c>
      <c r="S38" s="190">
        <f t="shared" si="8"/>
        <v>53.486546528150477</v>
      </c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234"/>
      <c r="AF38" s="234"/>
      <c r="AG38" s="235"/>
    </row>
    <row r="39" spans="1:33" s="189" customFormat="1" ht="38.25" x14ac:dyDescent="0.25">
      <c r="A39" s="187" t="s">
        <v>202</v>
      </c>
      <c r="B39" s="174" t="s">
        <v>39</v>
      </c>
      <c r="C39" s="179" t="s">
        <v>4</v>
      </c>
      <c r="D39" s="176" t="s">
        <v>360</v>
      </c>
      <c r="E39" s="176" t="s">
        <v>360</v>
      </c>
      <c r="F39" s="176" t="s">
        <v>360</v>
      </c>
      <c r="G39" s="176" t="s">
        <v>360</v>
      </c>
      <c r="H39" s="176" t="s">
        <v>360</v>
      </c>
      <c r="I39" s="176" t="s">
        <v>360</v>
      </c>
      <c r="J39" s="176" t="s">
        <v>360</v>
      </c>
      <c r="K39" s="176" t="s">
        <v>360</v>
      </c>
      <c r="L39" s="176" t="s">
        <v>360</v>
      </c>
      <c r="M39" s="176" t="s">
        <v>360</v>
      </c>
      <c r="N39" s="176" t="s">
        <v>360</v>
      </c>
      <c r="O39" s="176" t="s">
        <v>360</v>
      </c>
      <c r="P39" s="176" t="s">
        <v>360</v>
      </c>
      <c r="Q39" s="176" t="s">
        <v>360</v>
      </c>
      <c r="R39" s="176" t="s">
        <v>360</v>
      </c>
      <c r="S39" s="176" t="s">
        <v>360</v>
      </c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234"/>
      <c r="AF39" s="234"/>
      <c r="AG39" s="235"/>
    </row>
    <row r="40" spans="1:33" s="189" customFormat="1" ht="25.5" x14ac:dyDescent="0.25">
      <c r="A40" s="177" t="s">
        <v>203</v>
      </c>
      <c r="B40" s="193" t="s">
        <v>51</v>
      </c>
      <c r="C40" s="179" t="s">
        <v>38</v>
      </c>
      <c r="D40" s="190">
        <f>13187.08+115935.88+82.09+152408.53</f>
        <v>281613.58</v>
      </c>
      <c r="E40" s="190">
        <f>13187.08+82.09+145500.86</f>
        <v>158770.03</v>
      </c>
      <c r="F40" s="190">
        <v>0</v>
      </c>
      <c r="G40" s="190">
        <v>0</v>
      </c>
      <c r="H40" s="190">
        <v>0</v>
      </c>
      <c r="I40" s="190">
        <f>15964.96+280433.73</f>
        <v>296398.69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234">
        <f>SUM(D40:AD40)</f>
        <v>736782.3</v>
      </c>
      <c r="AF40" s="234">
        <v>736782.3</v>
      </c>
      <c r="AG40" s="235"/>
    </row>
    <row r="41" spans="1:33" s="189" customFormat="1" ht="41.25" customHeight="1" x14ac:dyDescent="0.25">
      <c r="A41" s="188" t="s">
        <v>209</v>
      </c>
      <c r="B41" s="174" t="s">
        <v>52</v>
      </c>
      <c r="C41" s="179" t="s">
        <v>4</v>
      </c>
      <c r="D41" s="177" t="s">
        <v>360</v>
      </c>
      <c r="E41" s="177" t="s">
        <v>360</v>
      </c>
      <c r="F41" s="177" t="s">
        <v>360</v>
      </c>
      <c r="G41" s="177" t="s">
        <v>360</v>
      </c>
      <c r="H41" s="177" t="s">
        <v>360</v>
      </c>
      <c r="I41" s="177" t="s">
        <v>360</v>
      </c>
      <c r="J41" s="177" t="s">
        <v>360</v>
      </c>
      <c r="K41" s="177" t="s">
        <v>360</v>
      </c>
      <c r="L41" s="177" t="s">
        <v>360</v>
      </c>
      <c r="M41" s="177" t="s">
        <v>360</v>
      </c>
      <c r="N41" s="177" t="s">
        <v>360</v>
      </c>
      <c r="O41" s="177" t="s">
        <v>360</v>
      </c>
      <c r="P41" s="177" t="s">
        <v>360</v>
      </c>
      <c r="Q41" s="177" t="s">
        <v>360</v>
      </c>
      <c r="R41" s="177" t="s">
        <v>360</v>
      </c>
      <c r="S41" s="177" t="s">
        <v>360</v>
      </c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234"/>
      <c r="AF41" s="234"/>
      <c r="AG41" s="235"/>
    </row>
    <row r="42" spans="1:33" s="189" customFormat="1" ht="25.5" x14ac:dyDescent="0.25">
      <c r="A42" s="179" t="s">
        <v>208</v>
      </c>
      <c r="B42" s="193" t="s">
        <v>53</v>
      </c>
      <c r="C42" s="179" t="s">
        <v>4</v>
      </c>
      <c r="D42" s="177" t="s">
        <v>361</v>
      </c>
      <c r="E42" s="177" t="s">
        <v>361</v>
      </c>
      <c r="F42" s="177" t="s">
        <v>361</v>
      </c>
      <c r="G42" s="177" t="s">
        <v>361</v>
      </c>
      <c r="H42" s="177" t="s">
        <v>361</v>
      </c>
      <c r="I42" s="177" t="s">
        <v>361</v>
      </c>
      <c r="J42" s="177" t="s">
        <v>361</v>
      </c>
      <c r="K42" s="177" t="s">
        <v>361</v>
      </c>
      <c r="L42" s="177" t="s">
        <v>361</v>
      </c>
      <c r="M42" s="177" t="s">
        <v>361</v>
      </c>
      <c r="N42" s="177" t="s">
        <v>361</v>
      </c>
      <c r="O42" s="177" t="s">
        <v>361</v>
      </c>
      <c r="P42" s="177" t="s">
        <v>361</v>
      </c>
      <c r="Q42" s="177" t="s">
        <v>361</v>
      </c>
      <c r="R42" s="177" t="s">
        <v>361</v>
      </c>
      <c r="S42" s="177" t="s">
        <v>361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234"/>
      <c r="AF42" s="234"/>
      <c r="AG42" s="235"/>
    </row>
    <row r="43" spans="1:33" s="189" customFormat="1" x14ac:dyDescent="0.25">
      <c r="A43" s="179" t="s">
        <v>210</v>
      </c>
      <c r="B43" s="193" t="s">
        <v>2</v>
      </c>
      <c r="C43" s="179" t="s">
        <v>4</v>
      </c>
      <c r="D43" s="181" t="s">
        <v>357</v>
      </c>
      <c r="E43" s="181" t="s">
        <v>357</v>
      </c>
      <c r="F43" s="181" t="s">
        <v>357</v>
      </c>
      <c r="G43" s="181" t="s">
        <v>357</v>
      </c>
      <c r="H43" s="181" t="s">
        <v>357</v>
      </c>
      <c r="I43" s="181" t="s">
        <v>357</v>
      </c>
      <c r="J43" s="181" t="s">
        <v>357</v>
      </c>
      <c r="K43" s="181" t="s">
        <v>357</v>
      </c>
      <c r="L43" s="181" t="s">
        <v>357</v>
      </c>
      <c r="M43" s="181" t="s">
        <v>357</v>
      </c>
      <c r="N43" s="181" t="s">
        <v>357</v>
      </c>
      <c r="O43" s="181" t="s">
        <v>357</v>
      </c>
      <c r="P43" s="181" t="s">
        <v>357</v>
      </c>
      <c r="Q43" s="181" t="s">
        <v>357</v>
      </c>
      <c r="R43" s="181" t="s">
        <v>357</v>
      </c>
      <c r="S43" s="181" t="s">
        <v>357</v>
      </c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234"/>
      <c r="AF43" s="234"/>
      <c r="AG43" s="235"/>
    </row>
    <row r="44" spans="1:33" s="189" customFormat="1" x14ac:dyDescent="0.25">
      <c r="A44" s="179" t="s">
        <v>211</v>
      </c>
      <c r="B44" s="193" t="s">
        <v>54</v>
      </c>
      <c r="C44" s="179" t="s">
        <v>38</v>
      </c>
      <c r="D44" s="190">
        <f t="shared" ref="D44:I44" si="9">D40/D$2</f>
        <v>63.486536814103431</v>
      </c>
      <c r="E44" s="190">
        <f t="shared" si="9"/>
        <v>35.722006479773206</v>
      </c>
      <c r="F44" s="190">
        <f t="shared" si="9"/>
        <v>0</v>
      </c>
      <c r="G44" s="190">
        <f t="shared" si="9"/>
        <v>0</v>
      </c>
      <c r="H44" s="190">
        <f t="shared" si="9"/>
        <v>0</v>
      </c>
      <c r="I44" s="190" t="e">
        <f t="shared" si="9"/>
        <v>#DIV/0!</v>
      </c>
      <c r="J44" s="190">
        <f>J40/J$2</f>
        <v>0</v>
      </c>
      <c r="K44" s="190">
        <f t="shared" ref="K44:S44" si="10">K40/K$2</f>
        <v>0</v>
      </c>
      <c r="L44" s="190">
        <f t="shared" si="10"/>
        <v>0</v>
      </c>
      <c r="M44" s="190">
        <f t="shared" si="10"/>
        <v>0</v>
      </c>
      <c r="N44" s="190">
        <f t="shared" si="10"/>
        <v>0</v>
      </c>
      <c r="O44" s="190">
        <f t="shared" si="10"/>
        <v>0</v>
      </c>
      <c r="P44" s="190">
        <f t="shared" si="10"/>
        <v>0</v>
      </c>
      <c r="Q44" s="190">
        <f t="shared" si="10"/>
        <v>0</v>
      </c>
      <c r="R44" s="190">
        <f t="shared" si="10"/>
        <v>0</v>
      </c>
      <c r="S44" s="190">
        <f t="shared" si="10"/>
        <v>0</v>
      </c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234"/>
      <c r="AF44" s="234"/>
      <c r="AG44" s="235"/>
    </row>
    <row r="45" spans="1:33" s="189" customFormat="1" ht="25.5" x14ac:dyDescent="0.25">
      <c r="A45" s="187" t="s">
        <v>202</v>
      </c>
      <c r="B45" s="174" t="s">
        <v>39</v>
      </c>
      <c r="C45" s="179" t="s">
        <v>4</v>
      </c>
      <c r="D45" s="176" t="s">
        <v>2330</v>
      </c>
      <c r="E45" s="176" t="s">
        <v>2330</v>
      </c>
      <c r="F45" s="176" t="s">
        <v>2330</v>
      </c>
      <c r="G45" s="176" t="s">
        <v>2330</v>
      </c>
      <c r="H45" s="176" t="s">
        <v>2330</v>
      </c>
      <c r="I45" s="176" t="s">
        <v>2330</v>
      </c>
      <c r="J45" s="176" t="s">
        <v>2330</v>
      </c>
      <c r="K45" s="176" t="s">
        <v>2330</v>
      </c>
      <c r="L45" s="176" t="s">
        <v>2330</v>
      </c>
      <c r="M45" s="176" t="s">
        <v>2330</v>
      </c>
      <c r="N45" s="176" t="s">
        <v>2330</v>
      </c>
      <c r="O45" s="176" t="s">
        <v>2330</v>
      </c>
      <c r="P45" s="176" t="s">
        <v>2330</v>
      </c>
      <c r="Q45" s="176" t="s">
        <v>2330</v>
      </c>
      <c r="R45" s="176" t="s">
        <v>2330</v>
      </c>
      <c r="S45" s="176" t="s">
        <v>2330</v>
      </c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234"/>
      <c r="AF45" s="234"/>
      <c r="AG45" s="235"/>
    </row>
    <row r="46" spans="1:33" s="189" customFormat="1" ht="25.5" x14ac:dyDescent="0.25">
      <c r="A46" s="177" t="s">
        <v>203</v>
      </c>
      <c r="B46" s="193" t="s">
        <v>51</v>
      </c>
      <c r="C46" s="179" t="s">
        <v>38</v>
      </c>
      <c r="D46" s="190">
        <v>101848.26</v>
      </c>
      <c r="E46" s="190">
        <v>54553.93</v>
      </c>
      <c r="F46" s="190">
        <v>22387.43</v>
      </c>
      <c r="G46" s="190">
        <v>22045.79</v>
      </c>
      <c r="H46" s="190">
        <v>63465.61</v>
      </c>
      <c r="I46" s="190">
        <v>0</v>
      </c>
      <c r="J46" s="190">
        <v>45882.9</v>
      </c>
      <c r="K46" s="190">
        <v>67979.520000000004</v>
      </c>
      <c r="L46" s="190">
        <v>13926.72</v>
      </c>
      <c r="M46" s="190">
        <v>2724.24</v>
      </c>
      <c r="N46" s="190">
        <v>2705.04</v>
      </c>
      <c r="O46" s="190">
        <v>3785.16</v>
      </c>
      <c r="P46" s="190">
        <v>14112.22</v>
      </c>
      <c r="Q46" s="190">
        <v>9787.82</v>
      </c>
      <c r="R46" s="190">
        <v>9434.16</v>
      </c>
      <c r="S46" s="190">
        <v>3966.69</v>
      </c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234">
        <f>SUM(D46:AD46)</f>
        <v>438605.48999999993</v>
      </c>
      <c r="AF46" s="234"/>
      <c r="AG46" s="235"/>
    </row>
    <row r="47" spans="1:33" s="189" customFormat="1" ht="41.25" customHeight="1" x14ac:dyDescent="0.25">
      <c r="A47" s="188" t="s">
        <v>212</v>
      </c>
      <c r="B47" s="174" t="s">
        <v>52</v>
      </c>
      <c r="C47" s="179" t="s">
        <v>4</v>
      </c>
      <c r="D47" s="177" t="s">
        <v>363</v>
      </c>
      <c r="E47" s="177" t="s">
        <v>363</v>
      </c>
      <c r="F47" s="177" t="s">
        <v>363</v>
      </c>
      <c r="G47" s="177" t="s">
        <v>363</v>
      </c>
      <c r="H47" s="177" t="s">
        <v>363</v>
      </c>
      <c r="I47" s="177" t="s">
        <v>363</v>
      </c>
      <c r="J47" s="177" t="s">
        <v>363</v>
      </c>
      <c r="K47" s="177" t="s">
        <v>363</v>
      </c>
      <c r="L47" s="177" t="s">
        <v>363</v>
      </c>
      <c r="M47" s="177" t="s">
        <v>363</v>
      </c>
      <c r="N47" s="177" t="s">
        <v>363</v>
      </c>
      <c r="O47" s="177" t="s">
        <v>363</v>
      </c>
      <c r="P47" s="177" t="s">
        <v>363</v>
      </c>
      <c r="Q47" s="177" t="s">
        <v>363</v>
      </c>
      <c r="R47" s="177" t="s">
        <v>363</v>
      </c>
      <c r="S47" s="177" t="s">
        <v>363</v>
      </c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234"/>
      <c r="AF47" s="234"/>
      <c r="AG47" s="235"/>
    </row>
    <row r="48" spans="1:33" s="189" customFormat="1" ht="25.5" x14ac:dyDescent="0.25">
      <c r="A48" s="179" t="s">
        <v>213</v>
      </c>
      <c r="B48" s="193" t="s">
        <v>53</v>
      </c>
      <c r="C48" s="179" t="s">
        <v>4</v>
      </c>
      <c r="D48" s="177" t="s">
        <v>364</v>
      </c>
      <c r="E48" s="177" t="s">
        <v>364</v>
      </c>
      <c r="F48" s="177" t="s">
        <v>364</v>
      </c>
      <c r="G48" s="177" t="s">
        <v>364</v>
      </c>
      <c r="H48" s="177" t="s">
        <v>364</v>
      </c>
      <c r="I48" s="177" t="s">
        <v>364</v>
      </c>
      <c r="J48" s="177" t="s">
        <v>364</v>
      </c>
      <c r="K48" s="177" t="s">
        <v>364</v>
      </c>
      <c r="L48" s="177" t="s">
        <v>364</v>
      </c>
      <c r="M48" s="177" t="s">
        <v>364</v>
      </c>
      <c r="N48" s="177" t="s">
        <v>364</v>
      </c>
      <c r="O48" s="177" t="s">
        <v>364</v>
      </c>
      <c r="P48" s="177" t="s">
        <v>364</v>
      </c>
      <c r="Q48" s="177" t="s">
        <v>364</v>
      </c>
      <c r="R48" s="177" t="s">
        <v>364</v>
      </c>
      <c r="S48" s="177" t="s">
        <v>364</v>
      </c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234"/>
      <c r="AF48" s="234"/>
      <c r="AG48" s="235"/>
    </row>
    <row r="49" spans="1:34" s="189" customFormat="1" x14ac:dyDescent="0.25">
      <c r="A49" s="179" t="s">
        <v>214</v>
      </c>
      <c r="B49" s="193" t="s">
        <v>2</v>
      </c>
      <c r="C49" s="179" t="s">
        <v>4</v>
      </c>
      <c r="D49" s="181" t="s">
        <v>357</v>
      </c>
      <c r="E49" s="181" t="s">
        <v>357</v>
      </c>
      <c r="F49" s="181" t="s">
        <v>357</v>
      </c>
      <c r="G49" s="181" t="s">
        <v>357</v>
      </c>
      <c r="H49" s="181" t="s">
        <v>357</v>
      </c>
      <c r="I49" s="181" t="s">
        <v>357</v>
      </c>
      <c r="J49" s="181" t="s">
        <v>357</v>
      </c>
      <c r="K49" s="181" t="s">
        <v>357</v>
      </c>
      <c r="L49" s="181" t="s">
        <v>357</v>
      </c>
      <c r="M49" s="181" t="s">
        <v>357</v>
      </c>
      <c r="N49" s="181" t="s">
        <v>357</v>
      </c>
      <c r="O49" s="181" t="s">
        <v>357</v>
      </c>
      <c r="P49" s="181" t="s">
        <v>357</v>
      </c>
      <c r="Q49" s="181" t="s">
        <v>357</v>
      </c>
      <c r="R49" s="181" t="s">
        <v>357</v>
      </c>
      <c r="S49" s="181" t="s">
        <v>357</v>
      </c>
      <c r="T49" s="181"/>
      <c r="U49" s="181"/>
      <c r="V49" s="181"/>
      <c r="W49" s="181"/>
      <c r="X49" s="181"/>
      <c r="Y49" s="194"/>
      <c r="Z49" s="181"/>
      <c r="AA49" s="181"/>
      <c r="AB49" s="181"/>
      <c r="AC49" s="181"/>
      <c r="AD49" s="181"/>
      <c r="AE49" s="234"/>
      <c r="AF49" s="234"/>
      <c r="AG49" s="235"/>
    </row>
    <row r="50" spans="1:34" s="189" customFormat="1" x14ac:dyDescent="0.25">
      <c r="A50" s="179" t="s">
        <v>215</v>
      </c>
      <c r="B50" s="193" t="s">
        <v>54</v>
      </c>
      <c r="C50" s="179" t="s">
        <v>38</v>
      </c>
      <c r="D50" s="190">
        <f t="shared" ref="D50:I50" si="11">D46/D$2</f>
        <v>22.960516704991207</v>
      </c>
      <c r="E50" s="190">
        <f t="shared" si="11"/>
        <v>12.274204652837149</v>
      </c>
      <c r="F50" s="190">
        <f t="shared" si="11"/>
        <v>11.200435261156695</v>
      </c>
      <c r="G50" s="190">
        <f t="shared" si="11"/>
        <v>16.678612498108642</v>
      </c>
      <c r="H50" s="190">
        <f t="shared" si="11"/>
        <v>23.300392833541373</v>
      </c>
      <c r="I50" s="190" t="e">
        <f t="shared" si="11"/>
        <v>#DIV/0!</v>
      </c>
      <c r="J50" s="190">
        <f>J46/J$2</f>
        <v>14.44207325709861</v>
      </c>
      <c r="K50" s="190">
        <f t="shared" ref="K50:S50" si="12">K46/K$2</f>
        <v>21.504340124003544</v>
      </c>
      <c r="L50" s="190">
        <f t="shared" si="12"/>
        <v>21.320759338640535</v>
      </c>
      <c r="M50" s="190">
        <f t="shared" si="12"/>
        <v>21.518483412322276</v>
      </c>
      <c r="N50" s="190">
        <f t="shared" si="12"/>
        <v>19.759240321402483</v>
      </c>
      <c r="O50" s="190">
        <f t="shared" si="12"/>
        <v>21.531058020477815</v>
      </c>
      <c r="P50" s="190">
        <f t="shared" si="12"/>
        <v>32.036821793416571</v>
      </c>
      <c r="Q50" s="190">
        <f t="shared" si="12"/>
        <v>21.540096830985917</v>
      </c>
      <c r="R50" s="190">
        <f t="shared" si="12"/>
        <v>21.558866544789762</v>
      </c>
      <c r="S50" s="190">
        <f t="shared" si="12"/>
        <v>9.1567174515235461</v>
      </c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234"/>
      <c r="AF50" s="234"/>
      <c r="AG50" s="235"/>
    </row>
    <row r="51" spans="1:34" s="189" customFormat="1" ht="38.25" hidden="1" customHeight="1" x14ac:dyDescent="0.25">
      <c r="A51" s="187" t="s">
        <v>202</v>
      </c>
      <c r="B51" s="174" t="s">
        <v>39</v>
      </c>
      <c r="C51" s="179" t="s">
        <v>4</v>
      </c>
      <c r="D51" s="176" t="s">
        <v>365</v>
      </c>
      <c r="E51" s="176" t="s">
        <v>365</v>
      </c>
      <c r="F51" s="176" t="s">
        <v>365</v>
      </c>
      <c r="G51" s="176" t="s">
        <v>365</v>
      </c>
      <c r="H51" s="176" t="s">
        <v>365</v>
      </c>
      <c r="I51" s="176" t="s">
        <v>365</v>
      </c>
      <c r="J51" s="176" t="s">
        <v>365</v>
      </c>
      <c r="K51" s="176" t="s">
        <v>365</v>
      </c>
      <c r="L51" s="176" t="s">
        <v>365</v>
      </c>
      <c r="M51" s="176" t="s">
        <v>365</v>
      </c>
      <c r="N51" s="176" t="s">
        <v>365</v>
      </c>
      <c r="O51" s="176" t="s">
        <v>365</v>
      </c>
      <c r="P51" s="176" t="s">
        <v>365</v>
      </c>
      <c r="Q51" s="176" t="s">
        <v>365</v>
      </c>
      <c r="R51" s="176" t="s">
        <v>365</v>
      </c>
      <c r="S51" s="176" t="s">
        <v>365</v>
      </c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234"/>
      <c r="AF51" s="234"/>
      <c r="AG51" s="235"/>
    </row>
    <row r="52" spans="1:34" s="189" customFormat="1" ht="25.5" hidden="1" customHeight="1" x14ac:dyDescent="0.25">
      <c r="A52" s="177" t="s">
        <v>203</v>
      </c>
      <c r="B52" s="193" t="s">
        <v>51</v>
      </c>
      <c r="C52" s="179" t="s">
        <v>38</v>
      </c>
      <c r="D52" s="190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/>
      <c r="U52" s="190"/>
      <c r="V52" s="190"/>
      <c r="W52" s="190"/>
      <c r="X52" s="190"/>
      <c r="Y52" s="184"/>
      <c r="Z52" s="190"/>
      <c r="AA52" s="190"/>
      <c r="AB52" s="190"/>
      <c r="AC52" s="190"/>
      <c r="AD52" s="190"/>
      <c r="AE52" s="234"/>
      <c r="AF52" s="234"/>
      <c r="AG52" s="235"/>
    </row>
    <row r="53" spans="1:34" s="189" customFormat="1" ht="140.25" hidden="1" customHeight="1" x14ac:dyDescent="0.25">
      <c r="A53" s="188" t="s">
        <v>226</v>
      </c>
      <c r="B53" s="174" t="s">
        <v>52</v>
      </c>
      <c r="C53" s="179" t="s">
        <v>4</v>
      </c>
      <c r="D53" s="177" t="s">
        <v>366</v>
      </c>
      <c r="E53" s="177" t="s">
        <v>366</v>
      </c>
      <c r="F53" s="177" t="s">
        <v>366</v>
      </c>
      <c r="G53" s="177" t="s">
        <v>366</v>
      </c>
      <c r="H53" s="177" t="s">
        <v>366</v>
      </c>
      <c r="I53" s="177" t="s">
        <v>366</v>
      </c>
      <c r="J53" s="177" t="s">
        <v>366</v>
      </c>
      <c r="K53" s="177" t="s">
        <v>366</v>
      </c>
      <c r="L53" s="177" t="s">
        <v>366</v>
      </c>
      <c r="M53" s="177" t="s">
        <v>366</v>
      </c>
      <c r="N53" s="177" t="s">
        <v>366</v>
      </c>
      <c r="O53" s="177" t="s">
        <v>366</v>
      </c>
      <c r="P53" s="177" t="s">
        <v>366</v>
      </c>
      <c r="Q53" s="177" t="s">
        <v>366</v>
      </c>
      <c r="R53" s="177" t="s">
        <v>366</v>
      </c>
      <c r="S53" s="177" t="s">
        <v>366</v>
      </c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234"/>
      <c r="AF53" s="234"/>
      <c r="AG53" s="235"/>
    </row>
    <row r="54" spans="1:34" s="189" customFormat="1" ht="25.5" hidden="1" customHeight="1" x14ac:dyDescent="0.25">
      <c r="A54" s="179" t="s">
        <v>227</v>
      </c>
      <c r="B54" s="193" t="s">
        <v>53</v>
      </c>
      <c r="C54" s="179" t="s">
        <v>4</v>
      </c>
      <c r="D54" s="177" t="s">
        <v>361</v>
      </c>
      <c r="E54" s="177" t="s">
        <v>361</v>
      </c>
      <c r="F54" s="177" t="s">
        <v>361</v>
      </c>
      <c r="G54" s="177" t="s">
        <v>361</v>
      </c>
      <c r="H54" s="177" t="s">
        <v>361</v>
      </c>
      <c r="I54" s="177" t="s">
        <v>361</v>
      </c>
      <c r="J54" s="177" t="s">
        <v>361</v>
      </c>
      <c r="K54" s="177" t="s">
        <v>361</v>
      </c>
      <c r="L54" s="177" t="s">
        <v>361</v>
      </c>
      <c r="M54" s="177" t="s">
        <v>361</v>
      </c>
      <c r="N54" s="177" t="s">
        <v>361</v>
      </c>
      <c r="O54" s="177" t="s">
        <v>361</v>
      </c>
      <c r="P54" s="177" t="s">
        <v>361</v>
      </c>
      <c r="Q54" s="177" t="s">
        <v>361</v>
      </c>
      <c r="R54" s="177" t="s">
        <v>361</v>
      </c>
      <c r="S54" s="177" t="s">
        <v>361</v>
      </c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234"/>
      <c r="AF54" s="234"/>
      <c r="AG54" s="235"/>
    </row>
    <row r="55" spans="1:34" s="189" customFormat="1" ht="15.75" hidden="1" customHeight="1" x14ac:dyDescent="0.25">
      <c r="A55" s="179" t="s">
        <v>228</v>
      </c>
      <c r="B55" s="193" t="s">
        <v>2</v>
      </c>
      <c r="C55" s="179" t="s">
        <v>4</v>
      </c>
      <c r="D55" s="181" t="s">
        <v>357</v>
      </c>
      <c r="E55" s="181" t="s">
        <v>357</v>
      </c>
      <c r="F55" s="181" t="s">
        <v>357</v>
      </c>
      <c r="G55" s="181" t="s">
        <v>357</v>
      </c>
      <c r="H55" s="181" t="s">
        <v>357</v>
      </c>
      <c r="I55" s="181" t="s">
        <v>357</v>
      </c>
      <c r="J55" s="181" t="s">
        <v>357</v>
      </c>
      <c r="K55" s="181" t="s">
        <v>357</v>
      </c>
      <c r="L55" s="181" t="s">
        <v>357</v>
      </c>
      <c r="M55" s="181" t="s">
        <v>357</v>
      </c>
      <c r="N55" s="181" t="s">
        <v>357</v>
      </c>
      <c r="O55" s="181" t="s">
        <v>357</v>
      </c>
      <c r="P55" s="181" t="s">
        <v>357</v>
      </c>
      <c r="Q55" s="181" t="s">
        <v>357</v>
      </c>
      <c r="R55" s="181" t="s">
        <v>357</v>
      </c>
      <c r="S55" s="181" t="s">
        <v>357</v>
      </c>
      <c r="T55" s="181"/>
      <c r="U55" s="181"/>
      <c r="V55" s="181"/>
      <c r="W55" s="181"/>
      <c r="X55" s="181"/>
      <c r="Y55" s="194"/>
      <c r="Z55" s="181"/>
      <c r="AA55" s="181"/>
      <c r="AB55" s="181"/>
      <c r="AC55" s="181"/>
      <c r="AD55" s="181"/>
      <c r="AE55" s="234"/>
      <c r="AF55" s="234"/>
      <c r="AG55" s="235"/>
    </row>
    <row r="56" spans="1:34" s="189" customFormat="1" ht="15.75" hidden="1" customHeight="1" x14ac:dyDescent="0.25">
      <c r="A56" s="179" t="s">
        <v>229</v>
      </c>
      <c r="B56" s="193" t="s">
        <v>54</v>
      </c>
      <c r="C56" s="179" t="s">
        <v>38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/>
      <c r="U56" s="190"/>
      <c r="V56" s="190"/>
      <c r="W56" s="190"/>
      <c r="X56" s="190"/>
      <c r="Y56" s="184"/>
      <c r="Z56" s="190"/>
      <c r="AA56" s="190"/>
      <c r="AB56" s="190"/>
      <c r="AC56" s="190"/>
      <c r="AD56" s="190"/>
      <c r="AE56" s="234"/>
      <c r="AF56" s="234"/>
      <c r="AG56" s="235"/>
    </row>
    <row r="57" spans="1:34" s="189" customFormat="1" ht="51" outlineLevel="1" x14ac:dyDescent="0.25">
      <c r="A57" s="187" t="s">
        <v>202</v>
      </c>
      <c r="B57" s="174" t="s">
        <v>39</v>
      </c>
      <c r="C57" s="179" t="s">
        <v>4</v>
      </c>
      <c r="D57" s="176" t="s">
        <v>367</v>
      </c>
      <c r="E57" s="176" t="s">
        <v>367</v>
      </c>
      <c r="F57" s="176" t="s">
        <v>367</v>
      </c>
      <c r="G57" s="176" t="s">
        <v>367</v>
      </c>
      <c r="H57" s="176" t="s">
        <v>367</v>
      </c>
      <c r="I57" s="176" t="s">
        <v>367</v>
      </c>
      <c r="J57" s="176" t="s">
        <v>367</v>
      </c>
      <c r="K57" s="176" t="s">
        <v>367</v>
      </c>
      <c r="L57" s="176" t="s">
        <v>367</v>
      </c>
      <c r="M57" s="176" t="s">
        <v>367</v>
      </c>
      <c r="N57" s="176" t="s">
        <v>367</v>
      </c>
      <c r="O57" s="176" t="s">
        <v>367</v>
      </c>
      <c r="P57" s="176" t="s">
        <v>367</v>
      </c>
      <c r="Q57" s="176" t="s">
        <v>367</v>
      </c>
      <c r="R57" s="176" t="s">
        <v>367</v>
      </c>
      <c r="S57" s="176" t="s">
        <v>367</v>
      </c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234"/>
      <c r="AF57" s="234"/>
      <c r="AG57" s="235"/>
      <c r="AH57" s="195"/>
    </row>
    <row r="58" spans="1:34" s="189" customFormat="1" ht="25.5" outlineLevel="1" x14ac:dyDescent="0.25">
      <c r="A58" s="177" t="s">
        <v>203</v>
      </c>
      <c r="B58" s="193" t="s">
        <v>51</v>
      </c>
      <c r="C58" s="179" t="s">
        <v>38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234">
        <f>SUM(D58:AD58)</f>
        <v>0</v>
      </c>
      <c r="AF58" s="234"/>
      <c r="AG58" s="235"/>
    </row>
    <row r="59" spans="1:34" s="189" customFormat="1" ht="63.75" outlineLevel="1" x14ac:dyDescent="0.25">
      <c r="A59" s="188" t="s">
        <v>230</v>
      </c>
      <c r="B59" s="174" t="s">
        <v>52</v>
      </c>
      <c r="C59" s="179" t="s">
        <v>4</v>
      </c>
      <c r="D59" s="177" t="s">
        <v>368</v>
      </c>
      <c r="E59" s="177" t="s">
        <v>368</v>
      </c>
      <c r="F59" s="177" t="s">
        <v>368</v>
      </c>
      <c r="G59" s="177" t="s">
        <v>368</v>
      </c>
      <c r="H59" s="177" t="s">
        <v>368</v>
      </c>
      <c r="I59" s="177" t="s">
        <v>368</v>
      </c>
      <c r="J59" s="177" t="s">
        <v>368</v>
      </c>
      <c r="K59" s="177" t="s">
        <v>368</v>
      </c>
      <c r="L59" s="177" t="s">
        <v>368</v>
      </c>
      <c r="M59" s="177" t="s">
        <v>368</v>
      </c>
      <c r="N59" s="177" t="s">
        <v>368</v>
      </c>
      <c r="O59" s="177" t="s">
        <v>368</v>
      </c>
      <c r="P59" s="177" t="s">
        <v>368</v>
      </c>
      <c r="Q59" s="177" t="s">
        <v>368</v>
      </c>
      <c r="R59" s="177" t="s">
        <v>368</v>
      </c>
      <c r="S59" s="177" t="s">
        <v>368</v>
      </c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234"/>
      <c r="AF59" s="234"/>
      <c r="AG59" s="235"/>
      <c r="AH59" s="195"/>
    </row>
    <row r="60" spans="1:34" s="189" customFormat="1" ht="25.5" outlineLevel="1" x14ac:dyDescent="0.25">
      <c r="A60" s="179" t="s">
        <v>231</v>
      </c>
      <c r="B60" s="193" t="s">
        <v>53</v>
      </c>
      <c r="C60" s="179" t="s">
        <v>4</v>
      </c>
      <c r="D60" s="177" t="s">
        <v>356</v>
      </c>
      <c r="E60" s="177" t="s">
        <v>356</v>
      </c>
      <c r="F60" s="177" t="s">
        <v>356</v>
      </c>
      <c r="G60" s="177" t="s">
        <v>356</v>
      </c>
      <c r="H60" s="177" t="s">
        <v>356</v>
      </c>
      <c r="I60" s="177" t="s">
        <v>356</v>
      </c>
      <c r="J60" s="177" t="s">
        <v>356</v>
      </c>
      <c r="K60" s="177" t="s">
        <v>356</v>
      </c>
      <c r="L60" s="177" t="s">
        <v>356</v>
      </c>
      <c r="M60" s="177" t="s">
        <v>356</v>
      </c>
      <c r="N60" s="177" t="s">
        <v>356</v>
      </c>
      <c r="O60" s="177" t="s">
        <v>356</v>
      </c>
      <c r="P60" s="177" t="s">
        <v>356</v>
      </c>
      <c r="Q60" s="177" t="s">
        <v>356</v>
      </c>
      <c r="R60" s="177" t="s">
        <v>356</v>
      </c>
      <c r="S60" s="177" t="s">
        <v>356</v>
      </c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234"/>
      <c r="AF60" s="234"/>
      <c r="AG60" s="235"/>
      <c r="AH60" s="195"/>
    </row>
    <row r="61" spans="1:34" s="189" customFormat="1" outlineLevel="1" x14ac:dyDescent="0.25">
      <c r="A61" s="179" t="s">
        <v>232</v>
      </c>
      <c r="B61" s="193" t="s">
        <v>2</v>
      </c>
      <c r="C61" s="179" t="s">
        <v>4</v>
      </c>
      <c r="D61" s="181" t="s">
        <v>357</v>
      </c>
      <c r="E61" s="181" t="s">
        <v>357</v>
      </c>
      <c r="F61" s="181" t="s">
        <v>357</v>
      </c>
      <c r="G61" s="181" t="s">
        <v>357</v>
      </c>
      <c r="H61" s="181" t="s">
        <v>357</v>
      </c>
      <c r="I61" s="181" t="s">
        <v>357</v>
      </c>
      <c r="J61" s="181" t="s">
        <v>357</v>
      </c>
      <c r="K61" s="181" t="s">
        <v>357</v>
      </c>
      <c r="L61" s="181" t="s">
        <v>357</v>
      </c>
      <c r="M61" s="181" t="s">
        <v>357</v>
      </c>
      <c r="N61" s="181" t="s">
        <v>357</v>
      </c>
      <c r="O61" s="181" t="s">
        <v>357</v>
      </c>
      <c r="P61" s="181" t="s">
        <v>357</v>
      </c>
      <c r="Q61" s="181" t="s">
        <v>357</v>
      </c>
      <c r="R61" s="181" t="s">
        <v>357</v>
      </c>
      <c r="S61" s="181" t="s">
        <v>357</v>
      </c>
      <c r="T61" s="181"/>
      <c r="U61" s="181"/>
      <c r="V61" s="181"/>
      <c r="W61" s="181"/>
      <c r="X61" s="181"/>
      <c r="Y61" s="194"/>
      <c r="Z61" s="181"/>
      <c r="AA61" s="181"/>
      <c r="AB61" s="181"/>
      <c r="AC61" s="181"/>
      <c r="AD61" s="181"/>
      <c r="AE61" s="234"/>
      <c r="AF61" s="234"/>
      <c r="AG61" s="235"/>
      <c r="AH61" s="195"/>
    </row>
    <row r="62" spans="1:34" s="189" customFormat="1" outlineLevel="1" x14ac:dyDescent="0.25">
      <c r="A62" s="179" t="s">
        <v>233</v>
      </c>
      <c r="B62" s="193" t="s">
        <v>54</v>
      </c>
      <c r="C62" s="179" t="s">
        <v>38</v>
      </c>
      <c r="D62" s="190">
        <f t="shared" ref="D62:I62" si="13">D58/D$2</f>
        <v>0</v>
      </c>
      <c r="E62" s="190">
        <f t="shared" si="13"/>
        <v>0</v>
      </c>
      <c r="F62" s="190">
        <f t="shared" si="13"/>
        <v>0</v>
      </c>
      <c r="G62" s="190">
        <f t="shared" si="13"/>
        <v>0</v>
      </c>
      <c r="H62" s="190">
        <f t="shared" si="13"/>
        <v>0</v>
      </c>
      <c r="I62" s="190" t="e">
        <f t="shared" si="13"/>
        <v>#DIV/0!</v>
      </c>
      <c r="J62" s="190">
        <f>J58/J$2</f>
        <v>0</v>
      </c>
      <c r="K62" s="190">
        <f t="shared" ref="K62:S62" si="14">K58/K$2</f>
        <v>0</v>
      </c>
      <c r="L62" s="190">
        <f t="shared" si="14"/>
        <v>0</v>
      </c>
      <c r="M62" s="190">
        <f t="shared" si="14"/>
        <v>0</v>
      </c>
      <c r="N62" s="190">
        <f t="shared" si="14"/>
        <v>0</v>
      </c>
      <c r="O62" s="190">
        <f t="shared" si="14"/>
        <v>0</v>
      </c>
      <c r="P62" s="190">
        <f t="shared" si="14"/>
        <v>0</v>
      </c>
      <c r="Q62" s="190">
        <f t="shared" si="14"/>
        <v>0</v>
      </c>
      <c r="R62" s="190">
        <f t="shared" si="14"/>
        <v>0</v>
      </c>
      <c r="S62" s="190">
        <f t="shared" si="14"/>
        <v>0</v>
      </c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234"/>
      <c r="AF62" s="234"/>
      <c r="AG62" s="235"/>
      <c r="AH62" s="195"/>
    </row>
    <row r="63" spans="1:34" s="189" customFormat="1" ht="102" x14ac:dyDescent="0.25">
      <c r="A63" s="187" t="s">
        <v>202</v>
      </c>
      <c r="B63" s="174" t="s">
        <v>39</v>
      </c>
      <c r="C63" s="179" t="s">
        <v>4</v>
      </c>
      <c r="D63" s="176" t="s">
        <v>369</v>
      </c>
      <c r="E63" s="176" t="s">
        <v>369</v>
      </c>
      <c r="F63" s="176" t="s">
        <v>369</v>
      </c>
      <c r="G63" s="176" t="s">
        <v>369</v>
      </c>
      <c r="H63" s="176" t="s">
        <v>369</v>
      </c>
      <c r="I63" s="176" t="s">
        <v>369</v>
      </c>
      <c r="J63" s="176" t="s">
        <v>369</v>
      </c>
      <c r="K63" s="176" t="s">
        <v>369</v>
      </c>
      <c r="L63" s="176" t="s">
        <v>369</v>
      </c>
      <c r="M63" s="176" t="s">
        <v>369</v>
      </c>
      <c r="N63" s="176" t="s">
        <v>369</v>
      </c>
      <c r="O63" s="176" t="s">
        <v>369</v>
      </c>
      <c r="P63" s="176" t="s">
        <v>369</v>
      </c>
      <c r="Q63" s="176" t="s">
        <v>369</v>
      </c>
      <c r="R63" s="176" t="s">
        <v>369</v>
      </c>
      <c r="S63" s="176" t="s">
        <v>369</v>
      </c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234"/>
      <c r="AF63" s="234"/>
      <c r="AG63" s="235"/>
      <c r="AH63" s="195"/>
    </row>
    <row r="64" spans="1:34" s="189" customFormat="1" ht="25.5" x14ac:dyDescent="0.25">
      <c r="A64" s="177" t="s">
        <v>203</v>
      </c>
      <c r="B64" s="193" t="s">
        <v>51</v>
      </c>
      <c r="C64" s="179" t="s">
        <v>38</v>
      </c>
      <c r="D64" s="190">
        <f>3768.93+2248.21+1151/4</f>
        <v>6304.8899999999994</v>
      </c>
      <c r="E64" s="190">
        <f>3834.92+2677+1151/4</f>
        <v>6799.67</v>
      </c>
      <c r="F64" s="190">
        <f>585.29+3391.8</f>
        <v>3977.09</v>
      </c>
      <c r="G64" s="190">
        <f>3391.8+660.41</f>
        <v>4052.21</v>
      </c>
      <c r="H64" s="190">
        <f>2136.54+3391.8</f>
        <v>5528.34</v>
      </c>
      <c r="I64" s="190">
        <f>3391.8+890.07</f>
        <v>4281.87</v>
      </c>
      <c r="J64" s="190">
        <f>742.8+4278.06+1151/4</f>
        <v>5308.6100000000006</v>
      </c>
      <c r="K64" s="190">
        <f>4278.06+842.9+1151/4</f>
        <v>5408.71</v>
      </c>
      <c r="L64" s="190">
        <f>3079.4+1507.47</f>
        <v>4586.87</v>
      </c>
      <c r="M64" s="190">
        <f>0</f>
        <v>0</v>
      </c>
      <c r="N64" s="190">
        <v>0</v>
      </c>
      <c r="O64" s="190">
        <v>0</v>
      </c>
      <c r="P64" s="190">
        <f>411.83+2672.9</f>
        <v>3084.73</v>
      </c>
      <c r="Q64" s="190">
        <f>2500.2+235.33</f>
        <v>2735.5299999999997</v>
      </c>
      <c r="R64" s="190">
        <f>1320.73+2501.3</f>
        <v>3822.03</v>
      </c>
      <c r="S64" s="190">
        <f>2281.3+460.87</f>
        <v>2742.17</v>
      </c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234">
        <f>SUM(D64:AD64)</f>
        <v>58632.72</v>
      </c>
      <c r="AF64" s="234">
        <v>58632.72</v>
      </c>
      <c r="AG64" s="235"/>
    </row>
    <row r="65" spans="1:34" s="189" customFormat="1" ht="114.75" x14ac:dyDescent="0.25">
      <c r="A65" s="188" t="s">
        <v>234</v>
      </c>
      <c r="B65" s="174" t="s">
        <v>52</v>
      </c>
      <c r="C65" s="179" t="s">
        <v>4</v>
      </c>
      <c r="D65" s="177" t="s">
        <v>370</v>
      </c>
      <c r="E65" s="177" t="s">
        <v>370</v>
      </c>
      <c r="F65" s="177" t="s">
        <v>370</v>
      </c>
      <c r="G65" s="177" t="s">
        <v>370</v>
      </c>
      <c r="H65" s="177" t="s">
        <v>370</v>
      </c>
      <c r="I65" s="177" t="s">
        <v>370</v>
      </c>
      <c r="J65" s="177" t="s">
        <v>370</v>
      </c>
      <c r="K65" s="177" t="s">
        <v>370</v>
      </c>
      <c r="L65" s="177" t="s">
        <v>370</v>
      </c>
      <c r="M65" s="177" t="s">
        <v>370</v>
      </c>
      <c r="N65" s="177" t="s">
        <v>370</v>
      </c>
      <c r="O65" s="177" t="s">
        <v>370</v>
      </c>
      <c r="P65" s="177" t="s">
        <v>370</v>
      </c>
      <c r="Q65" s="177" t="s">
        <v>370</v>
      </c>
      <c r="R65" s="177" t="s">
        <v>370</v>
      </c>
      <c r="S65" s="177" t="s">
        <v>370</v>
      </c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234"/>
      <c r="AF65" s="234"/>
      <c r="AG65" s="235"/>
      <c r="AH65" s="195"/>
    </row>
    <row r="66" spans="1:34" s="189" customFormat="1" ht="25.5" x14ac:dyDescent="0.25">
      <c r="A66" s="179" t="s">
        <v>235</v>
      </c>
      <c r="B66" s="193" t="s">
        <v>53</v>
      </c>
      <c r="C66" s="179" t="s">
        <v>4</v>
      </c>
      <c r="D66" s="177" t="s">
        <v>361</v>
      </c>
      <c r="E66" s="177" t="s">
        <v>361</v>
      </c>
      <c r="F66" s="177" t="s">
        <v>361</v>
      </c>
      <c r="G66" s="177" t="s">
        <v>361</v>
      </c>
      <c r="H66" s="177" t="s">
        <v>361</v>
      </c>
      <c r="I66" s="177" t="s">
        <v>361</v>
      </c>
      <c r="J66" s="177" t="s">
        <v>361</v>
      </c>
      <c r="K66" s="177" t="s">
        <v>361</v>
      </c>
      <c r="L66" s="177" t="s">
        <v>361</v>
      </c>
      <c r="M66" s="177" t="s">
        <v>361</v>
      </c>
      <c r="N66" s="177" t="s">
        <v>361</v>
      </c>
      <c r="O66" s="177" t="s">
        <v>361</v>
      </c>
      <c r="P66" s="177" t="s">
        <v>361</v>
      </c>
      <c r="Q66" s="177" t="s">
        <v>361</v>
      </c>
      <c r="R66" s="177" t="s">
        <v>361</v>
      </c>
      <c r="S66" s="177" t="s">
        <v>361</v>
      </c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234"/>
      <c r="AF66" s="234"/>
      <c r="AG66" s="235"/>
      <c r="AH66" s="195"/>
    </row>
    <row r="67" spans="1:34" s="189" customFormat="1" x14ac:dyDescent="0.25">
      <c r="A67" s="179" t="s">
        <v>236</v>
      </c>
      <c r="B67" s="193" t="s">
        <v>2</v>
      </c>
      <c r="C67" s="179" t="s">
        <v>4</v>
      </c>
      <c r="D67" s="181" t="s">
        <v>357</v>
      </c>
      <c r="E67" s="181" t="s">
        <v>357</v>
      </c>
      <c r="F67" s="181" t="s">
        <v>357</v>
      </c>
      <c r="G67" s="181" t="s">
        <v>357</v>
      </c>
      <c r="H67" s="181" t="s">
        <v>357</v>
      </c>
      <c r="I67" s="181" t="s">
        <v>357</v>
      </c>
      <c r="J67" s="181" t="s">
        <v>357</v>
      </c>
      <c r="K67" s="181" t="s">
        <v>357</v>
      </c>
      <c r="L67" s="181" t="s">
        <v>357</v>
      </c>
      <c r="M67" s="181" t="s">
        <v>357</v>
      </c>
      <c r="N67" s="181" t="s">
        <v>357</v>
      </c>
      <c r="O67" s="181" t="s">
        <v>357</v>
      </c>
      <c r="P67" s="181" t="s">
        <v>357</v>
      </c>
      <c r="Q67" s="181" t="s">
        <v>357</v>
      </c>
      <c r="R67" s="181" t="s">
        <v>357</v>
      </c>
      <c r="S67" s="181" t="s">
        <v>357</v>
      </c>
      <c r="T67" s="181"/>
      <c r="U67" s="181"/>
      <c r="V67" s="181"/>
      <c r="W67" s="181"/>
      <c r="X67" s="181"/>
      <c r="Y67" s="194"/>
      <c r="Z67" s="181"/>
      <c r="AA67" s="181"/>
      <c r="AB67" s="181"/>
      <c r="AC67" s="181"/>
      <c r="AD67" s="181"/>
      <c r="AE67" s="234"/>
      <c r="AF67" s="234"/>
      <c r="AG67" s="235"/>
      <c r="AH67" s="195"/>
    </row>
    <row r="68" spans="1:34" s="189" customFormat="1" x14ac:dyDescent="0.25">
      <c r="A68" s="179" t="s">
        <v>237</v>
      </c>
      <c r="B68" s="193" t="s">
        <v>54</v>
      </c>
      <c r="C68" s="179" t="s">
        <v>38</v>
      </c>
      <c r="D68" s="190">
        <f t="shared" ref="D68:I68" si="15">D64/D$2</f>
        <v>1.4213648045448395</v>
      </c>
      <c r="E68" s="190">
        <f t="shared" si="15"/>
        <v>1.5298722044728434</v>
      </c>
      <c r="F68" s="190">
        <f t="shared" si="15"/>
        <v>1.9897388433059837</v>
      </c>
      <c r="G68" s="190">
        <f t="shared" si="15"/>
        <v>3.0656755938871236</v>
      </c>
      <c r="H68" s="190">
        <f t="shared" si="15"/>
        <v>2.0296424113371025</v>
      </c>
      <c r="I68" s="190" t="e">
        <f t="shared" si="15"/>
        <v>#DIV/0!</v>
      </c>
      <c r="J68" s="190">
        <f>J64/J$2</f>
        <v>1.6709348038891669</v>
      </c>
      <c r="K68" s="190">
        <f t="shared" ref="K68:S68" si="16">K64/K$2</f>
        <v>1.7109673541693029</v>
      </c>
      <c r="L68" s="190">
        <f t="shared" si="16"/>
        <v>7.0221524800979784</v>
      </c>
      <c r="M68" s="190">
        <f t="shared" si="16"/>
        <v>0</v>
      </c>
      <c r="N68" s="190">
        <f t="shared" si="16"/>
        <v>0</v>
      </c>
      <c r="O68" s="190">
        <f t="shared" si="16"/>
        <v>0</v>
      </c>
      <c r="P68" s="190">
        <f t="shared" si="16"/>
        <v>7.002792281498297</v>
      </c>
      <c r="Q68" s="190">
        <f t="shared" si="16"/>
        <v>6.0200924295774643</v>
      </c>
      <c r="R68" s="190">
        <f t="shared" si="16"/>
        <v>8.7340722120658132</v>
      </c>
      <c r="S68" s="190">
        <f t="shared" si="16"/>
        <v>6.3300323176361957</v>
      </c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234"/>
      <c r="AF68" s="234"/>
      <c r="AG68" s="235"/>
      <c r="AH68" s="195"/>
    </row>
    <row r="69" spans="1:34" s="189" customFormat="1" ht="65.25" hidden="1" customHeight="1" outlineLevel="1" x14ac:dyDescent="0.25">
      <c r="A69" s="187" t="s">
        <v>202</v>
      </c>
      <c r="B69" s="174" t="s">
        <v>39</v>
      </c>
      <c r="C69" s="179" t="s">
        <v>4</v>
      </c>
      <c r="D69" s="176" t="s">
        <v>371</v>
      </c>
      <c r="E69" s="176" t="s">
        <v>371</v>
      </c>
      <c r="F69" s="176" t="s">
        <v>371</v>
      </c>
      <c r="G69" s="176" t="s">
        <v>371</v>
      </c>
      <c r="H69" s="176" t="s">
        <v>371</v>
      </c>
      <c r="I69" s="176" t="s">
        <v>371</v>
      </c>
      <c r="J69" s="176" t="s">
        <v>371</v>
      </c>
      <c r="K69" s="176" t="s">
        <v>371</v>
      </c>
      <c r="L69" s="176" t="s">
        <v>371</v>
      </c>
      <c r="M69" s="176" t="s">
        <v>371</v>
      </c>
      <c r="N69" s="176" t="s">
        <v>371</v>
      </c>
      <c r="O69" s="176" t="s">
        <v>371</v>
      </c>
      <c r="P69" s="176" t="s">
        <v>371</v>
      </c>
      <c r="Q69" s="176" t="s">
        <v>371</v>
      </c>
      <c r="R69" s="176" t="s">
        <v>371</v>
      </c>
      <c r="S69" s="176" t="s">
        <v>371</v>
      </c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234"/>
      <c r="AF69" s="234"/>
      <c r="AG69" s="235"/>
      <c r="AH69" s="195"/>
    </row>
    <row r="70" spans="1:34" s="189" customFormat="1" ht="25.5" hidden="1" outlineLevel="1" x14ac:dyDescent="0.25">
      <c r="A70" s="177" t="s">
        <v>203</v>
      </c>
      <c r="B70" s="193" t="s">
        <v>51</v>
      </c>
      <c r="C70" s="179" t="s">
        <v>38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84"/>
      <c r="Z70" s="190"/>
      <c r="AA70" s="190"/>
      <c r="AB70" s="190"/>
      <c r="AC70" s="190"/>
      <c r="AD70" s="190"/>
      <c r="AE70" s="234"/>
      <c r="AF70" s="234"/>
      <c r="AG70" s="235"/>
      <c r="AH70" s="195"/>
    </row>
    <row r="71" spans="1:34" s="189" customFormat="1" ht="76.5" hidden="1" outlineLevel="1" x14ac:dyDescent="0.25">
      <c r="A71" s="188" t="s">
        <v>238</v>
      </c>
      <c r="B71" s="174" t="s">
        <v>52</v>
      </c>
      <c r="C71" s="179" t="s">
        <v>4</v>
      </c>
      <c r="D71" s="177" t="s">
        <v>372</v>
      </c>
      <c r="E71" s="177" t="s">
        <v>372</v>
      </c>
      <c r="F71" s="177" t="s">
        <v>372</v>
      </c>
      <c r="G71" s="177" t="s">
        <v>372</v>
      </c>
      <c r="H71" s="177" t="s">
        <v>372</v>
      </c>
      <c r="I71" s="177" t="s">
        <v>372</v>
      </c>
      <c r="J71" s="177" t="s">
        <v>372</v>
      </c>
      <c r="K71" s="177" t="s">
        <v>372</v>
      </c>
      <c r="L71" s="177" t="s">
        <v>372</v>
      </c>
      <c r="M71" s="177" t="s">
        <v>372</v>
      </c>
      <c r="N71" s="177" t="s">
        <v>372</v>
      </c>
      <c r="O71" s="177" t="s">
        <v>372</v>
      </c>
      <c r="P71" s="177" t="s">
        <v>372</v>
      </c>
      <c r="Q71" s="177" t="s">
        <v>372</v>
      </c>
      <c r="R71" s="177" t="s">
        <v>372</v>
      </c>
      <c r="S71" s="177" t="s">
        <v>372</v>
      </c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234"/>
      <c r="AF71" s="234"/>
      <c r="AG71" s="235"/>
      <c r="AH71" s="195"/>
    </row>
    <row r="72" spans="1:34" s="189" customFormat="1" ht="25.5" hidden="1" outlineLevel="1" x14ac:dyDescent="0.25">
      <c r="A72" s="179" t="s">
        <v>239</v>
      </c>
      <c r="B72" s="193" t="s">
        <v>53</v>
      </c>
      <c r="C72" s="179" t="s">
        <v>4</v>
      </c>
      <c r="D72" s="177" t="s">
        <v>373</v>
      </c>
      <c r="E72" s="177" t="s">
        <v>373</v>
      </c>
      <c r="F72" s="177" t="s">
        <v>373</v>
      </c>
      <c r="G72" s="177" t="s">
        <v>373</v>
      </c>
      <c r="H72" s="177" t="s">
        <v>373</v>
      </c>
      <c r="I72" s="177" t="s">
        <v>373</v>
      </c>
      <c r="J72" s="177" t="s">
        <v>373</v>
      </c>
      <c r="K72" s="177" t="s">
        <v>373</v>
      </c>
      <c r="L72" s="177" t="s">
        <v>373</v>
      </c>
      <c r="M72" s="177" t="s">
        <v>373</v>
      </c>
      <c r="N72" s="177" t="s">
        <v>373</v>
      </c>
      <c r="O72" s="177" t="s">
        <v>373</v>
      </c>
      <c r="P72" s="177" t="s">
        <v>373</v>
      </c>
      <c r="Q72" s="177" t="s">
        <v>373</v>
      </c>
      <c r="R72" s="177" t="s">
        <v>373</v>
      </c>
      <c r="S72" s="177" t="s">
        <v>373</v>
      </c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234"/>
      <c r="AF72" s="234"/>
      <c r="AG72" s="235"/>
      <c r="AH72" s="195"/>
    </row>
    <row r="73" spans="1:34" s="189" customFormat="1" hidden="1" outlineLevel="1" x14ac:dyDescent="0.25">
      <c r="A73" s="179" t="s">
        <v>240</v>
      </c>
      <c r="B73" s="193" t="s">
        <v>2</v>
      </c>
      <c r="C73" s="179" t="s">
        <v>4</v>
      </c>
      <c r="D73" s="181" t="s">
        <v>357</v>
      </c>
      <c r="E73" s="181" t="s">
        <v>357</v>
      </c>
      <c r="F73" s="181" t="s">
        <v>357</v>
      </c>
      <c r="G73" s="181" t="s">
        <v>357</v>
      </c>
      <c r="H73" s="181" t="s">
        <v>357</v>
      </c>
      <c r="I73" s="181" t="s">
        <v>357</v>
      </c>
      <c r="J73" s="181" t="s">
        <v>357</v>
      </c>
      <c r="K73" s="181" t="s">
        <v>357</v>
      </c>
      <c r="L73" s="181" t="s">
        <v>357</v>
      </c>
      <c r="M73" s="181" t="s">
        <v>357</v>
      </c>
      <c r="N73" s="181" t="s">
        <v>357</v>
      </c>
      <c r="O73" s="181" t="s">
        <v>357</v>
      </c>
      <c r="P73" s="181" t="s">
        <v>357</v>
      </c>
      <c r="Q73" s="181" t="s">
        <v>357</v>
      </c>
      <c r="R73" s="181" t="s">
        <v>357</v>
      </c>
      <c r="S73" s="181" t="s">
        <v>357</v>
      </c>
      <c r="T73" s="181"/>
      <c r="U73" s="181"/>
      <c r="V73" s="181"/>
      <c r="W73" s="181"/>
      <c r="X73" s="181"/>
      <c r="Y73" s="194"/>
      <c r="Z73" s="181"/>
      <c r="AA73" s="181"/>
      <c r="AB73" s="181"/>
      <c r="AC73" s="181"/>
      <c r="AD73" s="181"/>
      <c r="AE73" s="234"/>
      <c r="AF73" s="234"/>
      <c r="AG73" s="235"/>
      <c r="AH73" s="195"/>
    </row>
    <row r="74" spans="1:34" s="189" customFormat="1" hidden="1" outlineLevel="1" x14ac:dyDescent="0.25">
      <c r="A74" s="179" t="s">
        <v>241</v>
      </c>
      <c r="B74" s="193" t="s">
        <v>54</v>
      </c>
      <c r="C74" s="179" t="s">
        <v>38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84"/>
      <c r="Z74" s="190"/>
      <c r="AA74" s="190"/>
      <c r="AB74" s="190"/>
      <c r="AC74" s="190"/>
      <c r="AD74" s="190"/>
      <c r="AE74" s="234"/>
      <c r="AF74" s="234"/>
      <c r="AG74" s="235"/>
      <c r="AH74" s="195"/>
    </row>
    <row r="75" spans="1:34" s="189" customFormat="1" ht="30.75" hidden="1" customHeight="1" outlineLevel="1" collapsed="1" x14ac:dyDescent="0.25">
      <c r="A75" s="187" t="s">
        <v>202</v>
      </c>
      <c r="B75" s="174" t="s">
        <v>39</v>
      </c>
      <c r="C75" s="179" t="s">
        <v>4</v>
      </c>
      <c r="D75" s="176" t="s">
        <v>381</v>
      </c>
      <c r="E75" s="176" t="s">
        <v>381</v>
      </c>
      <c r="F75" s="176" t="s">
        <v>381</v>
      </c>
      <c r="G75" s="176" t="s">
        <v>381</v>
      </c>
      <c r="H75" s="176" t="s">
        <v>381</v>
      </c>
      <c r="I75" s="176" t="s">
        <v>381</v>
      </c>
      <c r="J75" s="176" t="s">
        <v>381</v>
      </c>
      <c r="K75" s="176" t="s">
        <v>381</v>
      </c>
      <c r="L75" s="176" t="s">
        <v>381</v>
      </c>
      <c r="M75" s="176" t="s">
        <v>381</v>
      </c>
      <c r="N75" s="176" t="s">
        <v>381</v>
      </c>
      <c r="O75" s="176" t="s">
        <v>381</v>
      </c>
      <c r="P75" s="176" t="s">
        <v>381</v>
      </c>
      <c r="Q75" s="176" t="s">
        <v>381</v>
      </c>
      <c r="R75" s="176" t="s">
        <v>381</v>
      </c>
      <c r="S75" s="176" t="s">
        <v>381</v>
      </c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234"/>
      <c r="AF75" s="234"/>
      <c r="AG75" s="235"/>
      <c r="AH75" s="195"/>
    </row>
    <row r="76" spans="1:34" s="189" customFormat="1" ht="25.5" hidden="1" outlineLevel="1" x14ac:dyDescent="0.25">
      <c r="A76" s="177" t="s">
        <v>203</v>
      </c>
      <c r="B76" s="193" t="s">
        <v>51</v>
      </c>
      <c r="C76" s="179" t="s">
        <v>38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84"/>
      <c r="Z76" s="190"/>
      <c r="AA76" s="190"/>
      <c r="AB76" s="190"/>
      <c r="AC76" s="190"/>
      <c r="AD76" s="190"/>
      <c r="AE76" s="234"/>
      <c r="AF76" s="234"/>
      <c r="AG76" s="235"/>
      <c r="AH76" s="195"/>
    </row>
    <row r="77" spans="1:34" s="189" customFormat="1" ht="41.25" hidden="1" customHeight="1" outlineLevel="1" x14ac:dyDescent="0.25">
      <c r="A77" s="188" t="s">
        <v>242</v>
      </c>
      <c r="B77" s="174" t="s">
        <v>52</v>
      </c>
      <c r="C77" s="179" t="s">
        <v>4</v>
      </c>
      <c r="D77" s="177" t="s">
        <v>382</v>
      </c>
      <c r="E77" s="177" t="s">
        <v>382</v>
      </c>
      <c r="F77" s="177" t="s">
        <v>382</v>
      </c>
      <c r="G77" s="177" t="s">
        <v>382</v>
      </c>
      <c r="H77" s="177" t="s">
        <v>382</v>
      </c>
      <c r="I77" s="177" t="s">
        <v>382</v>
      </c>
      <c r="J77" s="177" t="s">
        <v>382</v>
      </c>
      <c r="K77" s="177" t="s">
        <v>382</v>
      </c>
      <c r="L77" s="177" t="s">
        <v>382</v>
      </c>
      <c r="M77" s="177" t="s">
        <v>382</v>
      </c>
      <c r="N77" s="177" t="s">
        <v>382</v>
      </c>
      <c r="O77" s="177" t="s">
        <v>382</v>
      </c>
      <c r="P77" s="177" t="s">
        <v>382</v>
      </c>
      <c r="Q77" s="177" t="s">
        <v>382</v>
      </c>
      <c r="R77" s="177" t="s">
        <v>382</v>
      </c>
      <c r="S77" s="177" t="s">
        <v>382</v>
      </c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234"/>
      <c r="AF77" s="234"/>
      <c r="AG77" s="235"/>
      <c r="AH77" s="195"/>
    </row>
    <row r="78" spans="1:34" s="189" customFormat="1" ht="25.5" hidden="1" outlineLevel="1" x14ac:dyDescent="0.25">
      <c r="A78" s="179" t="s">
        <v>243</v>
      </c>
      <c r="B78" s="193" t="s">
        <v>53</v>
      </c>
      <c r="C78" s="179" t="s">
        <v>4</v>
      </c>
      <c r="D78" s="177" t="s">
        <v>356</v>
      </c>
      <c r="E78" s="177" t="s">
        <v>356</v>
      </c>
      <c r="F78" s="177" t="s">
        <v>356</v>
      </c>
      <c r="G78" s="177" t="s">
        <v>356</v>
      </c>
      <c r="H78" s="177" t="s">
        <v>356</v>
      </c>
      <c r="I78" s="177" t="s">
        <v>356</v>
      </c>
      <c r="J78" s="177" t="s">
        <v>356</v>
      </c>
      <c r="K78" s="177" t="s">
        <v>356</v>
      </c>
      <c r="L78" s="177" t="s">
        <v>356</v>
      </c>
      <c r="M78" s="177" t="s">
        <v>356</v>
      </c>
      <c r="N78" s="177" t="s">
        <v>356</v>
      </c>
      <c r="O78" s="177" t="s">
        <v>356</v>
      </c>
      <c r="P78" s="177" t="s">
        <v>356</v>
      </c>
      <c r="Q78" s="177" t="s">
        <v>356</v>
      </c>
      <c r="R78" s="177" t="s">
        <v>356</v>
      </c>
      <c r="S78" s="177" t="s">
        <v>356</v>
      </c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234"/>
      <c r="AF78" s="234"/>
      <c r="AG78" s="235"/>
      <c r="AH78" s="195"/>
    </row>
    <row r="79" spans="1:34" s="189" customFormat="1" hidden="1" outlineLevel="1" x14ac:dyDescent="0.25">
      <c r="A79" s="179" t="s">
        <v>244</v>
      </c>
      <c r="B79" s="193" t="s">
        <v>2</v>
      </c>
      <c r="C79" s="179" t="s">
        <v>4</v>
      </c>
      <c r="D79" s="181" t="s">
        <v>357</v>
      </c>
      <c r="E79" s="181" t="s">
        <v>357</v>
      </c>
      <c r="F79" s="181" t="s">
        <v>357</v>
      </c>
      <c r="G79" s="181" t="s">
        <v>357</v>
      </c>
      <c r="H79" s="181" t="s">
        <v>357</v>
      </c>
      <c r="I79" s="181" t="s">
        <v>357</v>
      </c>
      <c r="J79" s="181" t="s">
        <v>357</v>
      </c>
      <c r="K79" s="181" t="s">
        <v>357</v>
      </c>
      <c r="L79" s="181" t="s">
        <v>357</v>
      </c>
      <c r="M79" s="181" t="s">
        <v>357</v>
      </c>
      <c r="N79" s="181" t="s">
        <v>357</v>
      </c>
      <c r="O79" s="181" t="s">
        <v>357</v>
      </c>
      <c r="P79" s="181" t="s">
        <v>357</v>
      </c>
      <c r="Q79" s="181" t="s">
        <v>357</v>
      </c>
      <c r="R79" s="181" t="s">
        <v>357</v>
      </c>
      <c r="S79" s="181" t="s">
        <v>357</v>
      </c>
      <c r="T79" s="181"/>
      <c r="U79" s="181"/>
      <c r="V79" s="181"/>
      <c r="W79" s="181"/>
      <c r="X79" s="181"/>
      <c r="Y79" s="194"/>
      <c r="Z79" s="181"/>
      <c r="AA79" s="181"/>
      <c r="AB79" s="181"/>
      <c r="AC79" s="181"/>
      <c r="AD79" s="181"/>
      <c r="AE79" s="234"/>
      <c r="AF79" s="234"/>
      <c r="AG79" s="235"/>
    </row>
    <row r="80" spans="1:34" s="189" customFormat="1" hidden="1" outlineLevel="1" x14ac:dyDescent="0.25">
      <c r="A80" s="179" t="s">
        <v>245</v>
      </c>
      <c r="B80" s="193" t="s">
        <v>54</v>
      </c>
      <c r="C80" s="179" t="s">
        <v>38</v>
      </c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84"/>
      <c r="Z80" s="190"/>
      <c r="AA80" s="190"/>
      <c r="AB80" s="190"/>
      <c r="AC80" s="190"/>
      <c r="AD80" s="190"/>
      <c r="AE80" s="234"/>
      <c r="AF80" s="234"/>
      <c r="AG80" s="235"/>
    </row>
    <row r="81" spans="1:34" s="189" customFormat="1" ht="25.5" hidden="1" outlineLevel="1" collapsed="1" x14ac:dyDescent="0.25">
      <c r="A81" s="187" t="s">
        <v>202</v>
      </c>
      <c r="B81" s="174" t="s">
        <v>39</v>
      </c>
      <c r="C81" s="179" t="s">
        <v>4</v>
      </c>
      <c r="D81" s="176" t="s">
        <v>374</v>
      </c>
      <c r="E81" s="176" t="s">
        <v>374</v>
      </c>
      <c r="F81" s="176" t="s">
        <v>374</v>
      </c>
      <c r="G81" s="176" t="s">
        <v>374</v>
      </c>
      <c r="H81" s="176" t="s">
        <v>374</v>
      </c>
      <c r="I81" s="176" t="s">
        <v>374</v>
      </c>
      <c r="J81" s="176" t="s">
        <v>374</v>
      </c>
      <c r="K81" s="176" t="s">
        <v>374</v>
      </c>
      <c r="L81" s="176" t="s">
        <v>374</v>
      </c>
      <c r="M81" s="176" t="s">
        <v>374</v>
      </c>
      <c r="N81" s="176" t="s">
        <v>374</v>
      </c>
      <c r="O81" s="176" t="s">
        <v>374</v>
      </c>
      <c r="P81" s="176" t="s">
        <v>374</v>
      </c>
      <c r="Q81" s="176" t="s">
        <v>374</v>
      </c>
      <c r="R81" s="176" t="s">
        <v>374</v>
      </c>
      <c r="S81" s="176" t="s">
        <v>374</v>
      </c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234"/>
      <c r="AF81" s="234"/>
      <c r="AG81" s="235"/>
    </row>
    <row r="82" spans="1:34" s="189" customFormat="1" ht="25.5" hidden="1" outlineLevel="1" x14ac:dyDescent="0.25">
      <c r="A82" s="177" t="s">
        <v>203</v>
      </c>
      <c r="B82" s="193" t="s">
        <v>51</v>
      </c>
      <c r="C82" s="179" t="s">
        <v>38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234"/>
      <c r="AF82" s="234"/>
      <c r="AG82" s="235"/>
    </row>
    <row r="83" spans="1:34" s="189" customFormat="1" ht="140.25" hidden="1" outlineLevel="1" x14ac:dyDescent="0.25">
      <c r="A83" s="188" t="s">
        <v>246</v>
      </c>
      <c r="B83" s="174" t="s">
        <v>52</v>
      </c>
      <c r="C83" s="179" t="s">
        <v>4</v>
      </c>
      <c r="D83" s="177" t="s">
        <v>375</v>
      </c>
      <c r="E83" s="177" t="s">
        <v>375</v>
      </c>
      <c r="F83" s="177" t="s">
        <v>375</v>
      </c>
      <c r="G83" s="177" t="s">
        <v>375</v>
      </c>
      <c r="H83" s="177" t="s">
        <v>375</v>
      </c>
      <c r="I83" s="177" t="s">
        <v>375</v>
      </c>
      <c r="J83" s="177" t="s">
        <v>375</v>
      </c>
      <c r="K83" s="177" t="s">
        <v>375</v>
      </c>
      <c r="L83" s="177" t="s">
        <v>375</v>
      </c>
      <c r="M83" s="177" t="s">
        <v>375</v>
      </c>
      <c r="N83" s="177" t="s">
        <v>375</v>
      </c>
      <c r="O83" s="177" t="s">
        <v>375</v>
      </c>
      <c r="P83" s="177" t="s">
        <v>375</v>
      </c>
      <c r="Q83" s="177" t="s">
        <v>375</v>
      </c>
      <c r="R83" s="177" t="s">
        <v>375</v>
      </c>
      <c r="S83" s="177" t="s">
        <v>375</v>
      </c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234"/>
      <c r="AF83" s="234"/>
      <c r="AG83" s="235"/>
      <c r="AH83" s="195"/>
    </row>
    <row r="84" spans="1:34" s="189" customFormat="1" ht="25.5" hidden="1" outlineLevel="1" x14ac:dyDescent="0.25">
      <c r="A84" s="179" t="s">
        <v>247</v>
      </c>
      <c r="B84" s="193" t="s">
        <v>53</v>
      </c>
      <c r="C84" s="179" t="s">
        <v>4</v>
      </c>
      <c r="D84" s="177" t="s">
        <v>356</v>
      </c>
      <c r="E84" s="177" t="s">
        <v>356</v>
      </c>
      <c r="F84" s="177" t="s">
        <v>356</v>
      </c>
      <c r="G84" s="177" t="s">
        <v>356</v>
      </c>
      <c r="H84" s="177" t="s">
        <v>356</v>
      </c>
      <c r="I84" s="177" t="s">
        <v>356</v>
      </c>
      <c r="J84" s="177" t="s">
        <v>356</v>
      </c>
      <c r="K84" s="177" t="s">
        <v>356</v>
      </c>
      <c r="L84" s="177" t="s">
        <v>356</v>
      </c>
      <c r="M84" s="177" t="s">
        <v>356</v>
      </c>
      <c r="N84" s="177" t="s">
        <v>356</v>
      </c>
      <c r="O84" s="177" t="s">
        <v>356</v>
      </c>
      <c r="P84" s="177" t="s">
        <v>356</v>
      </c>
      <c r="Q84" s="177" t="s">
        <v>356</v>
      </c>
      <c r="R84" s="177" t="s">
        <v>356</v>
      </c>
      <c r="S84" s="177" t="s">
        <v>356</v>
      </c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234"/>
      <c r="AF84" s="234"/>
      <c r="AG84" s="235"/>
      <c r="AH84" s="195"/>
    </row>
    <row r="85" spans="1:34" s="189" customFormat="1" hidden="1" outlineLevel="1" x14ac:dyDescent="0.25">
      <c r="A85" s="179" t="s">
        <v>248</v>
      </c>
      <c r="B85" s="193" t="s">
        <v>2</v>
      </c>
      <c r="C85" s="179" t="s">
        <v>4</v>
      </c>
      <c r="D85" s="181" t="s">
        <v>357</v>
      </c>
      <c r="E85" s="181" t="s">
        <v>357</v>
      </c>
      <c r="F85" s="181" t="s">
        <v>357</v>
      </c>
      <c r="G85" s="181" t="s">
        <v>357</v>
      </c>
      <c r="H85" s="181" t="s">
        <v>357</v>
      </c>
      <c r="I85" s="181" t="s">
        <v>357</v>
      </c>
      <c r="J85" s="181" t="s">
        <v>357</v>
      </c>
      <c r="K85" s="181" t="s">
        <v>357</v>
      </c>
      <c r="L85" s="181" t="s">
        <v>357</v>
      </c>
      <c r="M85" s="181" t="s">
        <v>357</v>
      </c>
      <c r="N85" s="181" t="s">
        <v>357</v>
      </c>
      <c r="O85" s="181" t="s">
        <v>357</v>
      </c>
      <c r="P85" s="181" t="s">
        <v>357</v>
      </c>
      <c r="Q85" s="181" t="s">
        <v>357</v>
      </c>
      <c r="R85" s="181" t="s">
        <v>357</v>
      </c>
      <c r="S85" s="181" t="s">
        <v>357</v>
      </c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234"/>
      <c r="AF85" s="234"/>
      <c r="AG85" s="235"/>
      <c r="AH85" s="195"/>
    </row>
    <row r="86" spans="1:34" s="189" customFormat="1" hidden="1" outlineLevel="1" x14ac:dyDescent="0.25">
      <c r="A86" s="179" t="s">
        <v>249</v>
      </c>
      <c r="B86" s="193" t="s">
        <v>54</v>
      </c>
      <c r="C86" s="179" t="s">
        <v>38</v>
      </c>
      <c r="D86" s="190">
        <v>0</v>
      </c>
      <c r="E86" s="190">
        <v>0</v>
      </c>
      <c r="F86" s="190">
        <v>0</v>
      </c>
      <c r="G86" s="190">
        <v>0</v>
      </c>
      <c r="H86" s="190">
        <v>0</v>
      </c>
      <c r="I86" s="190" t="e">
        <v>#DIV/0!</v>
      </c>
      <c r="J86" s="190">
        <v>0</v>
      </c>
      <c r="K86" s="190">
        <v>0</v>
      </c>
      <c r="L86" s="190">
        <v>0</v>
      </c>
      <c r="M86" s="190">
        <v>0</v>
      </c>
      <c r="N86" s="190">
        <v>0</v>
      </c>
      <c r="O86" s="190">
        <v>0</v>
      </c>
      <c r="P86" s="190">
        <v>0</v>
      </c>
      <c r="Q86" s="190">
        <v>0</v>
      </c>
      <c r="R86" s="190">
        <v>0</v>
      </c>
      <c r="S86" s="190">
        <v>0</v>
      </c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234"/>
      <c r="AF86" s="234"/>
      <c r="AG86" s="235"/>
      <c r="AH86" s="195"/>
    </row>
    <row r="87" spans="1:34" s="189" customFormat="1" ht="25.5" hidden="1" outlineLevel="1" x14ac:dyDescent="0.25">
      <c r="A87" s="187" t="s">
        <v>202</v>
      </c>
      <c r="B87" s="174" t="s">
        <v>39</v>
      </c>
      <c r="C87" s="179" t="s">
        <v>4</v>
      </c>
      <c r="D87" s="176" t="s">
        <v>383</v>
      </c>
      <c r="E87" s="176" t="s">
        <v>383</v>
      </c>
      <c r="F87" s="176" t="s">
        <v>383</v>
      </c>
      <c r="G87" s="176" t="s">
        <v>383</v>
      </c>
      <c r="H87" s="176" t="s">
        <v>383</v>
      </c>
      <c r="I87" s="176" t="s">
        <v>383</v>
      </c>
      <c r="J87" s="176" t="s">
        <v>383</v>
      </c>
      <c r="K87" s="176" t="s">
        <v>383</v>
      </c>
      <c r="L87" s="176" t="s">
        <v>383</v>
      </c>
      <c r="M87" s="176" t="s">
        <v>383</v>
      </c>
      <c r="N87" s="176" t="s">
        <v>383</v>
      </c>
      <c r="O87" s="176" t="s">
        <v>383</v>
      </c>
      <c r="P87" s="176" t="s">
        <v>383</v>
      </c>
      <c r="Q87" s="176" t="s">
        <v>383</v>
      </c>
      <c r="R87" s="176" t="s">
        <v>383</v>
      </c>
      <c r="S87" s="176" t="s">
        <v>383</v>
      </c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234"/>
      <c r="AF87" s="234"/>
      <c r="AG87" s="235"/>
      <c r="AH87" s="195"/>
    </row>
    <row r="88" spans="1:34" s="189" customFormat="1" ht="25.5" hidden="1" outlineLevel="1" x14ac:dyDescent="0.25">
      <c r="A88" s="177" t="s">
        <v>203</v>
      </c>
      <c r="B88" s="193" t="s">
        <v>51</v>
      </c>
      <c r="C88" s="179" t="s">
        <v>38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234"/>
      <c r="AF88" s="234"/>
      <c r="AG88" s="235"/>
    </row>
    <row r="89" spans="1:34" s="189" customFormat="1" ht="41.25" hidden="1" customHeight="1" outlineLevel="1" x14ac:dyDescent="0.25">
      <c r="A89" s="188" t="s">
        <v>250</v>
      </c>
      <c r="B89" s="174" t="s">
        <v>52</v>
      </c>
      <c r="C89" s="179" t="s">
        <v>4</v>
      </c>
      <c r="D89" s="177" t="s">
        <v>383</v>
      </c>
      <c r="E89" s="177" t="s">
        <v>383</v>
      </c>
      <c r="F89" s="177" t="s">
        <v>383</v>
      </c>
      <c r="G89" s="177" t="s">
        <v>383</v>
      </c>
      <c r="H89" s="177" t="s">
        <v>383</v>
      </c>
      <c r="I89" s="177" t="s">
        <v>383</v>
      </c>
      <c r="J89" s="177" t="s">
        <v>383</v>
      </c>
      <c r="K89" s="177" t="s">
        <v>383</v>
      </c>
      <c r="L89" s="177" t="s">
        <v>383</v>
      </c>
      <c r="M89" s="177" t="s">
        <v>383</v>
      </c>
      <c r="N89" s="177" t="s">
        <v>383</v>
      </c>
      <c r="O89" s="177" t="s">
        <v>383</v>
      </c>
      <c r="P89" s="177" t="s">
        <v>383</v>
      </c>
      <c r="Q89" s="177" t="s">
        <v>383</v>
      </c>
      <c r="R89" s="177" t="s">
        <v>383</v>
      </c>
      <c r="S89" s="177" t="s">
        <v>383</v>
      </c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234"/>
      <c r="AF89" s="234"/>
      <c r="AG89" s="235"/>
      <c r="AH89" s="195"/>
    </row>
    <row r="90" spans="1:34" s="189" customFormat="1" ht="25.5" hidden="1" outlineLevel="1" x14ac:dyDescent="0.25">
      <c r="A90" s="179" t="s">
        <v>251</v>
      </c>
      <c r="B90" s="193" t="s">
        <v>53</v>
      </c>
      <c r="C90" s="179" t="s">
        <v>4</v>
      </c>
      <c r="D90" s="177" t="s">
        <v>373</v>
      </c>
      <c r="E90" s="177" t="s">
        <v>373</v>
      </c>
      <c r="F90" s="177" t="s">
        <v>373</v>
      </c>
      <c r="G90" s="177" t="s">
        <v>373</v>
      </c>
      <c r="H90" s="177" t="s">
        <v>373</v>
      </c>
      <c r="I90" s="177" t="s">
        <v>373</v>
      </c>
      <c r="J90" s="177" t="s">
        <v>373</v>
      </c>
      <c r="K90" s="177" t="s">
        <v>373</v>
      </c>
      <c r="L90" s="177" t="s">
        <v>373</v>
      </c>
      <c r="M90" s="177" t="s">
        <v>373</v>
      </c>
      <c r="N90" s="177" t="s">
        <v>373</v>
      </c>
      <c r="O90" s="177" t="s">
        <v>373</v>
      </c>
      <c r="P90" s="177" t="s">
        <v>373</v>
      </c>
      <c r="Q90" s="177" t="s">
        <v>373</v>
      </c>
      <c r="R90" s="177" t="s">
        <v>373</v>
      </c>
      <c r="S90" s="177" t="s">
        <v>373</v>
      </c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234"/>
      <c r="AF90" s="234"/>
      <c r="AG90" s="235"/>
      <c r="AH90" s="195"/>
    </row>
    <row r="91" spans="1:34" s="189" customFormat="1" hidden="1" outlineLevel="1" x14ac:dyDescent="0.25">
      <c r="A91" s="179" t="s">
        <v>252</v>
      </c>
      <c r="B91" s="193" t="s">
        <v>2</v>
      </c>
      <c r="C91" s="179" t="s">
        <v>4</v>
      </c>
      <c r="D91" s="181" t="s">
        <v>357</v>
      </c>
      <c r="E91" s="194" t="s">
        <v>357</v>
      </c>
      <c r="F91" s="194" t="s">
        <v>357</v>
      </c>
      <c r="G91" s="194" t="s">
        <v>357</v>
      </c>
      <c r="H91" s="194" t="s">
        <v>357</v>
      </c>
      <c r="I91" s="194" t="s">
        <v>357</v>
      </c>
      <c r="J91" s="194" t="s">
        <v>357</v>
      </c>
      <c r="K91" s="194" t="s">
        <v>357</v>
      </c>
      <c r="L91" s="194" t="s">
        <v>357</v>
      </c>
      <c r="M91" s="194" t="s">
        <v>357</v>
      </c>
      <c r="N91" s="181" t="s">
        <v>357</v>
      </c>
      <c r="O91" s="194" t="s">
        <v>357</v>
      </c>
      <c r="P91" s="194" t="s">
        <v>357</v>
      </c>
      <c r="Q91" s="194" t="s">
        <v>357</v>
      </c>
      <c r="R91" s="194" t="s">
        <v>357</v>
      </c>
      <c r="S91" s="194" t="s">
        <v>357</v>
      </c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234"/>
      <c r="AF91" s="234"/>
      <c r="AG91" s="235"/>
      <c r="AH91" s="195"/>
    </row>
    <row r="92" spans="1:34" s="189" customFormat="1" hidden="1" outlineLevel="1" x14ac:dyDescent="0.25">
      <c r="A92" s="179" t="s">
        <v>253</v>
      </c>
      <c r="B92" s="193" t="s">
        <v>54</v>
      </c>
      <c r="C92" s="179" t="s">
        <v>38</v>
      </c>
      <c r="D92" s="190">
        <v>0</v>
      </c>
      <c r="E92" s="190">
        <v>0</v>
      </c>
      <c r="F92" s="190">
        <v>0</v>
      </c>
      <c r="G92" s="190">
        <v>0</v>
      </c>
      <c r="H92" s="190">
        <v>0</v>
      </c>
      <c r="I92" s="190" t="e">
        <v>#DIV/0!</v>
      </c>
      <c r="J92" s="190">
        <v>0</v>
      </c>
      <c r="K92" s="190">
        <v>0</v>
      </c>
      <c r="L92" s="190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0</v>
      </c>
      <c r="R92" s="190">
        <v>0</v>
      </c>
      <c r="S92" s="190">
        <v>0</v>
      </c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234"/>
      <c r="AF92" s="234"/>
      <c r="AG92" s="235"/>
      <c r="AH92" s="195"/>
    </row>
    <row r="93" spans="1:34" s="189" customFormat="1" collapsed="1" x14ac:dyDescent="0.25">
      <c r="A93" s="187" t="s">
        <v>202</v>
      </c>
      <c r="B93" s="174" t="s">
        <v>39</v>
      </c>
      <c r="C93" s="179" t="s">
        <v>4</v>
      </c>
      <c r="D93" s="176" t="s">
        <v>377</v>
      </c>
      <c r="E93" s="176" t="s">
        <v>377</v>
      </c>
      <c r="F93" s="176" t="s">
        <v>377</v>
      </c>
      <c r="G93" s="176" t="s">
        <v>377</v>
      </c>
      <c r="H93" s="176" t="s">
        <v>377</v>
      </c>
      <c r="I93" s="176" t="s">
        <v>377</v>
      </c>
      <c r="J93" s="176" t="s">
        <v>377</v>
      </c>
      <c r="K93" s="176" t="s">
        <v>377</v>
      </c>
      <c r="L93" s="176" t="s">
        <v>377</v>
      </c>
      <c r="M93" s="176" t="s">
        <v>377</v>
      </c>
      <c r="N93" s="176" t="s">
        <v>377</v>
      </c>
      <c r="O93" s="176" t="s">
        <v>377</v>
      </c>
      <c r="P93" s="176" t="s">
        <v>377</v>
      </c>
      <c r="Q93" s="176" t="s">
        <v>377</v>
      </c>
      <c r="R93" s="176" t="s">
        <v>377</v>
      </c>
      <c r="S93" s="176" t="s">
        <v>377</v>
      </c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234"/>
      <c r="AF93" s="234"/>
      <c r="AG93" s="235"/>
      <c r="AH93" s="195"/>
    </row>
    <row r="94" spans="1:34" s="189" customFormat="1" ht="25.5" x14ac:dyDescent="0.25">
      <c r="A94" s="177" t="s">
        <v>203</v>
      </c>
      <c r="B94" s="193" t="s">
        <v>51</v>
      </c>
      <c r="C94" s="179" t="s">
        <v>38</v>
      </c>
      <c r="D94" s="190">
        <v>8386.68</v>
      </c>
      <c r="E94" s="190">
        <v>8424.2800000000007</v>
      </c>
      <c r="F94" s="190">
        <v>8588.16</v>
      </c>
      <c r="G94" s="190">
        <v>8451.84</v>
      </c>
      <c r="H94" s="190">
        <v>10224</v>
      </c>
      <c r="I94" s="190">
        <v>12899.68</v>
      </c>
      <c r="J94" s="190">
        <v>5415.6</v>
      </c>
      <c r="K94" s="190">
        <v>2482.16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234">
        <f>SUM(D94:AD94)</f>
        <v>64872.399999999994</v>
      </c>
      <c r="AF94" s="234">
        <v>64872.4</v>
      </c>
      <c r="AG94" s="235"/>
    </row>
    <row r="95" spans="1:34" s="189" customFormat="1" ht="51" x14ac:dyDescent="0.25">
      <c r="A95" s="188" t="s">
        <v>254</v>
      </c>
      <c r="B95" s="174" t="s">
        <v>52</v>
      </c>
      <c r="C95" s="179" t="s">
        <v>4</v>
      </c>
      <c r="D95" s="177" t="s">
        <v>378</v>
      </c>
      <c r="E95" s="177" t="s">
        <v>378</v>
      </c>
      <c r="F95" s="177" t="s">
        <v>378</v>
      </c>
      <c r="G95" s="177" t="s">
        <v>378</v>
      </c>
      <c r="H95" s="177" t="s">
        <v>378</v>
      </c>
      <c r="I95" s="177" t="s">
        <v>378</v>
      </c>
      <c r="J95" s="177" t="s">
        <v>378</v>
      </c>
      <c r="K95" s="177" t="s">
        <v>378</v>
      </c>
      <c r="L95" s="177" t="s">
        <v>378</v>
      </c>
      <c r="M95" s="177" t="s">
        <v>378</v>
      </c>
      <c r="N95" s="177" t="s">
        <v>378</v>
      </c>
      <c r="O95" s="177" t="s">
        <v>378</v>
      </c>
      <c r="P95" s="177" t="s">
        <v>378</v>
      </c>
      <c r="Q95" s="177" t="s">
        <v>378</v>
      </c>
      <c r="R95" s="177" t="s">
        <v>378</v>
      </c>
      <c r="S95" s="177" t="s">
        <v>378</v>
      </c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234"/>
      <c r="AF95" s="234"/>
      <c r="AG95" s="235"/>
      <c r="AH95" s="195"/>
    </row>
    <row r="96" spans="1:34" s="189" customFormat="1" ht="25.5" x14ac:dyDescent="0.25">
      <c r="A96" s="179" t="s">
        <v>255</v>
      </c>
      <c r="B96" s="193" t="s">
        <v>53</v>
      </c>
      <c r="C96" s="179" t="s">
        <v>4</v>
      </c>
      <c r="D96" s="177" t="s">
        <v>379</v>
      </c>
      <c r="E96" s="177" t="s">
        <v>379</v>
      </c>
      <c r="F96" s="177" t="s">
        <v>379</v>
      </c>
      <c r="G96" s="177" t="s">
        <v>379</v>
      </c>
      <c r="H96" s="177" t="s">
        <v>379</v>
      </c>
      <c r="I96" s="177" t="s">
        <v>379</v>
      </c>
      <c r="J96" s="177" t="s">
        <v>379</v>
      </c>
      <c r="K96" s="177" t="s">
        <v>379</v>
      </c>
      <c r="L96" s="177" t="s">
        <v>379</v>
      </c>
      <c r="M96" s="177" t="s">
        <v>379</v>
      </c>
      <c r="N96" s="177" t="s">
        <v>379</v>
      </c>
      <c r="O96" s="177" t="s">
        <v>379</v>
      </c>
      <c r="P96" s="177" t="s">
        <v>379</v>
      </c>
      <c r="Q96" s="177" t="s">
        <v>379</v>
      </c>
      <c r="R96" s="177" t="s">
        <v>379</v>
      </c>
      <c r="S96" s="177" t="s">
        <v>379</v>
      </c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234"/>
      <c r="AF96" s="234"/>
      <c r="AG96" s="235"/>
      <c r="AH96" s="195"/>
    </row>
    <row r="97" spans="1:35" s="189" customFormat="1" x14ac:dyDescent="0.25">
      <c r="A97" s="179" t="s">
        <v>256</v>
      </c>
      <c r="B97" s="193" t="s">
        <v>2</v>
      </c>
      <c r="C97" s="179" t="s">
        <v>4</v>
      </c>
      <c r="D97" s="181" t="s">
        <v>380</v>
      </c>
      <c r="E97" s="181" t="s">
        <v>380</v>
      </c>
      <c r="F97" s="181" t="s">
        <v>380</v>
      </c>
      <c r="G97" s="181" t="s">
        <v>380</v>
      </c>
      <c r="H97" s="181" t="s">
        <v>380</v>
      </c>
      <c r="I97" s="181" t="s">
        <v>380</v>
      </c>
      <c r="J97" s="181" t="s">
        <v>380</v>
      </c>
      <c r="K97" s="181" t="s">
        <v>380</v>
      </c>
      <c r="L97" s="181" t="s">
        <v>380</v>
      </c>
      <c r="M97" s="181" t="s">
        <v>380</v>
      </c>
      <c r="N97" s="181" t="s">
        <v>380</v>
      </c>
      <c r="O97" s="181" t="s">
        <v>380</v>
      </c>
      <c r="P97" s="181" t="s">
        <v>380</v>
      </c>
      <c r="Q97" s="181" t="s">
        <v>380</v>
      </c>
      <c r="R97" s="181" t="s">
        <v>380</v>
      </c>
      <c r="S97" s="181" t="s">
        <v>380</v>
      </c>
      <c r="T97" s="181"/>
      <c r="U97" s="181"/>
      <c r="V97" s="181"/>
      <c r="W97" s="181"/>
      <c r="X97" s="181"/>
      <c r="Y97" s="194"/>
      <c r="Z97" s="181"/>
      <c r="AA97" s="181"/>
      <c r="AB97" s="181"/>
      <c r="AC97" s="181"/>
      <c r="AD97" s="181"/>
      <c r="AE97" s="234"/>
      <c r="AF97" s="234"/>
      <c r="AG97" s="235"/>
      <c r="AH97" s="195"/>
    </row>
    <row r="98" spans="1:35" s="189" customFormat="1" x14ac:dyDescent="0.25">
      <c r="A98" s="179" t="s">
        <v>257</v>
      </c>
      <c r="B98" s="193" t="s">
        <v>54</v>
      </c>
      <c r="C98" s="179" t="s">
        <v>38</v>
      </c>
      <c r="D98" s="190">
        <f t="shared" ref="D98:I98" si="17">D94/D$2</f>
        <v>1.8906803733261193</v>
      </c>
      <c r="E98" s="190">
        <f t="shared" si="17"/>
        <v>1.8953966611168609</v>
      </c>
      <c r="F98" s="190">
        <f t="shared" si="17"/>
        <v>4.2966579947968784</v>
      </c>
      <c r="G98" s="190">
        <f t="shared" si="17"/>
        <v>6.3941897412619157</v>
      </c>
      <c r="H98" s="190">
        <f t="shared" si="17"/>
        <v>3.753579557970482</v>
      </c>
      <c r="I98" s="190" t="e">
        <f t="shared" si="17"/>
        <v>#DIV/0!</v>
      </c>
      <c r="J98" s="190">
        <f>J94/J$2</f>
        <v>1.7046109101897056</v>
      </c>
      <c r="K98" s="190">
        <f t="shared" ref="K98:S98" si="18">K94/K$2</f>
        <v>0.78519549538150069</v>
      </c>
      <c r="L98" s="190">
        <f t="shared" si="18"/>
        <v>0</v>
      </c>
      <c r="M98" s="190">
        <f t="shared" si="18"/>
        <v>0</v>
      </c>
      <c r="N98" s="190">
        <f t="shared" si="18"/>
        <v>0</v>
      </c>
      <c r="O98" s="190">
        <f t="shared" si="18"/>
        <v>0</v>
      </c>
      <c r="P98" s="190">
        <f t="shared" si="18"/>
        <v>0</v>
      </c>
      <c r="Q98" s="190">
        <f t="shared" si="18"/>
        <v>0</v>
      </c>
      <c r="R98" s="190">
        <f t="shared" si="18"/>
        <v>0</v>
      </c>
      <c r="S98" s="190">
        <f t="shared" si="18"/>
        <v>0</v>
      </c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234"/>
      <c r="AF98" s="234"/>
      <c r="AG98" s="235"/>
      <c r="AH98" s="195"/>
    </row>
    <row r="99" spans="1:35" s="189" customFormat="1" hidden="1" outlineLevel="1" x14ac:dyDescent="0.25">
      <c r="A99" s="187" t="s">
        <v>202</v>
      </c>
      <c r="B99" s="174" t="s">
        <v>39</v>
      </c>
      <c r="C99" s="179" t="s">
        <v>4</v>
      </c>
      <c r="D99" s="176" t="s">
        <v>384</v>
      </c>
      <c r="E99" s="176" t="s">
        <v>384</v>
      </c>
      <c r="F99" s="176" t="s">
        <v>384</v>
      </c>
      <c r="G99" s="176" t="s">
        <v>384</v>
      </c>
      <c r="H99" s="176" t="s">
        <v>384</v>
      </c>
      <c r="I99" s="176" t="s">
        <v>384</v>
      </c>
      <c r="J99" s="176" t="s">
        <v>384</v>
      </c>
      <c r="K99" s="176" t="s">
        <v>384</v>
      </c>
      <c r="L99" s="176" t="s">
        <v>384</v>
      </c>
      <c r="M99" s="176" t="s">
        <v>384</v>
      </c>
      <c r="N99" s="176" t="s">
        <v>384</v>
      </c>
      <c r="O99" s="176" t="s">
        <v>384</v>
      </c>
      <c r="P99" s="176" t="s">
        <v>384</v>
      </c>
      <c r="Q99" s="176" t="s">
        <v>384</v>
      </c>
      <c r="R99" s="176" t="s">
        <v>384</v>
      </c>
      <c r="S99" s="176" t="s">
        <v>384</v>
      </c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234"/>
      <c r="AF99" s="234"/>
      <c r="AG99" s="235"/>
      <c r="AH99" s="195"/>
    </row>
    <row r="100" spans="1:35" s="189" customFormat="1" ht="25.5" hidden="1" outlineLevel="1" x14ac:dyDescent="0.25">
      <c r="A100" s="177" t="s">
        <v>203</v>
      </c>
      <c r="B100" s="193" t="s">
        <v>51</v>
      </c>
      <c r="C100" s="179" t="s">
        <v>38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234"/>
      <c r="AF100" s="234"/>
      <c r="AG100" s="238"/>
    </row>
    <row r="101" spans="1:35" s="189" customFormat="1" ht="76.5" hidden="1" outlineLevel="1" x14ac:dyDescent="0.25">
      <c r="A101" s="188" t="s">
        <v>258</v>
      </c>
      <c r="B101" s="174" t="s">
        <v>52</v>
      </c>
      <c r="C101" s="179" t="s">
        <v>4</v>
      </c>
      <c r="D101" s="177" t="s">
        <v>385</v>
      </c>
      <c r="E101" s="177" t="s">
        <v>385</v>
      </c>
      <c r="F101" s="177" t="s">
        <v>385</v>
      </c>
      <c r="G101" s="177" t="s">
        <v>385</v>
      </c>
      <c r="H101" s="177" t="s">
        <v>385</v>
      </c>
      <c r="I101" s="177" t="s">
        <v>385</v>
      </c>
      <c r="J101" s="177" t="s">
        <v>385</v>
      </c>
      <c r="K101" s="177" t="s">
        <v>385</v>
      </c>
      <c r="L101" s="177" t="s">
        <v>385</v>
      </c>
      <c r="M101" s="177" t="s">
        <v>385</v>
      </c>
      <c r="N101" s="177" t="s">
        <v>385</v>
      </c>
      <c r="O101" s="177" t="s">
        <v>385</v>
      </c>
      <c r="P101" s="177" t="s">
        <v>385</v>
      </c>
      <c r="Q101" s="177" t="s">
        <v>385</v>
      </c>
      <c r="R101" s="177" t="s">
        <v>385</v>
      </c>
      <c r="S101" s="177" t="s">
        <v>385</v>
      </c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234"/>
      <c r="AF101" s="234"/>
      <c r="AG101" s="235"/>
      <c r="AH101" s="195"/>
    </row>
    <row r="102" spans="1:35" s="189" customFormat="1" ht="25.5" hidden="1" outlineLevel="1" x14ac:dyDescent="0.25">
      <c r="A102" s="179" t="s">
        <v>259</v>
      </c>
      <c r="B102" s="193" t="s">
        <v>53</v>
      </c>
      <c r="C102" s="179" t="s">
        <v>4</v>
      </c>
      <c r="D102" s="177" t="s">
        <v>356</v>
      </c>
      <c r="E102" s="177" t="s">
        <v>356</v>
      </c>
      <c r="F102" s="177" t="s">
        <v>356</v>
      </c>
      <c r="G102" s="177" t="s">
        <v>356</v>
      </c>
      <c r="H102" s="177" t="s">
        <v>356</v>
      </c>
      <c r="I102" s="177" t="s">
        <v>356</v>
      </c>
      <c r="J102" s="177" t="s">
        <v>356</v>
      </c>
      <c r="K102" s="177" t="s">
        <v>356</v>
      </c>
      <c r="L102" s="177" t="s">
        <v>356</v>
      </c>
      <c r="M102" s="177" t="s">
        <v>356</v>
      </c>
      <c r="N102" s="177" t="s">
        <v>356</v>
      </c>
      <c r="O102" s="177" t="s">
        <v>356</v>
      </c>
      <c r="P102" s="177" t="s">
        <v>356</v>
      </c>
      <c r="Q102" s="177" t="s">
        <v>356</v>
      </c>
      <c r="R102" s="177" t="s">
        <v>356</v>
      </c>
      <c r="S102" s="177" t="s">
        <v>356</v>
      </c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234"/>
      <c r="AF102" s="234"/>
      <c r="AG102" s="235"/>
      <c r="AH102" s="195"/>
    </row>
    <row r="103" spans="1:35" s="189" customFormat="1" hidden="1" outlineLevel="1" x14ac:dyDescent="0.25">
      <c r="A103" s="179" t="s">
        <v>260</v>
      </c>
      <c r="B103" s="193" t="s">
        <v>2</v>
      </c>
      <c r="C103" s="179" t="s">
        <v>4</v>
      </c>
      <c r="D103" s="181" t="s">
        <v>380</v>
      </c>
      <c r="E103" s="181" t="s">
        <v>380</v>
      </c>
      <c r="F103" s="181" t="s">
        <v>380</v>
      </c>
      <c r="G103" s="181" t="s">
        <v>380</v>
      </c>
      <c r="H103" s="181" t="s">
        <v>380</v>
      </c>
      <c r="I103" s="181" t="s">
        <v>380</v>
      </c>
      <c r="J103" s="181" t="s">
        <v>380</v>
      </c>
      <c r="K103" s="181" t="s">
        <v>380</v>
      </c>
      <c r="L103" s="181" t="s">
        <v>380</v>
      </c>
      <c r="M103" s="181" t="s">
        <v>380</v>
      </c>
      <c r="N103" s="181" t="s">
        <v>380</v>
      </c>
      <c r="O103" s="181" t="s">
        <v>380</v>
      </c>
      <c r="P103" s="181" t="s">
        <v>380</v>
      </c>
      <c r="Q103" s="181" t="s">
        <v>380</v>
      </c>
      <c r="R103" s="181" t="s">
        <v>380</v>
      </c>
      <c r="S103" s="181" t="s">
        <v>380</v>
      </c>
      <c r="T103" s="181"/>
      <c r="U103" s="181"/>
      <c r="V103" s="181"/>
      <c r="W103" s="181"/>
      <c r="X103" s="181"/>
      <c r="Y103" s="194"/>
      <c r="Z103" s="181"/>
      <c r="AA103" s="181"/>
      <c r="AB103" s="181"/>
      <c r="AC103" s="181"/>
      <c r="AD103" s="181"/>
      <c r="AE103" s="234"/>
      <c r="AF103" s="234"/>
      <c r="AG103" s="235"/>
      <c r="AH103" s="195"/>
    </row>
    <row r="104" spans="1:35" s="189" customFormat="1" hidden="1" outlineLevel="1" x14ac:dyDescent="0.25">
      <c r="A104" s="179" t="s">
        <v>261</v>
      </c>
      <c r="B104" s="193" t="s">
        <v>54</v>
      </c>
      <c r="C104" s="179" t="s">
        <v>38</v>
      </c>
      <c r="D104" s="190">
        <v>0</v>
      </c>
      <c r="E104" s="190">
        <v>0</v>
      </c>
      <c r="F104" s="190">
        <v>0</v>
      </c>
      <c r="G104" s="190">
        <v>0</v>
      </c>
      <c r="H104" s="190">
        <v>0</v>
      </c>
      <c r="I104" s="190" t="e">
        <v>#DIV/0!</v>
      </c>
      <c r="J104" s="190">
        <v>0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234"/>
      <c r="AF104" s="234"/>
      <c r="AG104" s="235"/>
      <c r="AH104" s="195"/>
    </row>
    <row r="105" spans="1:35" s="189" customFormat="1" hidden="1" outlineLevel="1" x14ac:dyDescent="0.25">
      <c r="A105" s="187" t="s">
        <v>202</v>
      </c>
      <c r="B105" s="174" t="s">
        <v>39</v>
      </c>
      <c r="C105" s="179" t="s">
        <v>4</v>
      </c>
      <c r="D105" s="176" t="s">
        <v>386</v>
      </c>
      <c r="E105" s="176" t="s">
        <v>386</v>
      </c>
      <c r="F105" s="176" t="s">
        <v>386</v>
      </c>
      <c r="G105" s="176" t="s">
        <v>386</v>
      </c>
      <c r="H105" s="176" t="s">
        <v>386</v>
      </c>
      <c r="I105" s="176" t="s">
        <v>386</v>
      </c>
      <c r="J105" s="176" t="s">
        <v>386</v>
      </c>
      <c r="K105" s="176" t="s">
        <v>386</v>
      </c>
      <c r="L105" s="176" t="s">
        <v>386</v>
      </c>
      <c r="M105" s="176" t="s">
        <v>386</v>
      </c>
      <c r="N105" s="176" t="s">
        <v>386</v>
      </c>
      <c r="O105" s="176" t="s">
        <v>386</v>
      </c>
      <c r="P105" s="176" t="s">
        <v>386</v>
      </c>
      <c r="Q105" s="176" t="s">
        <v>386</v>
      </c>
      <c r="R105" s="176" t="s">
        <v>386</v>
      </c>
      <c r="S105" s="176" t="s">
        <v>386</v>
      </c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234"/>
      <c r="AF105" s="234"/>
      <c r="AG105" s="235"/>
      <c r="AH105" s="195"/>
    </row>
    <row r="106" spans="1:35" s="189" customFormat="1" ht="25.5" hidden="1" outlineLevel="1" x14ac:dyDescent="0.25">
      <c r="A106" s="177" t="s">
        <v>203</v>
      </c>
      <c r="B106" s="193" t="s">
        <v>51</v>
      </c>
      <c r="C106" s="179" t="s">
        <v>38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84"/>
      <c r="Z106" s="190"/>
      <c r="AA106" s="190"/>
      <c r="AB106" s="190"/>
      <c r="AC106" s="190"/>
      <c r="AD106" s="190"/>
      <c r="AE106" s="234"/>
      <c r="AF106" s="234"/>
      <c r="AG106" s="235"/>
      <c r="AH106" s="195"/>
    </row>
    <row r="107" spans="1:35" s="189" customFormat="1" ht="41.25" hidden="1" customHeight="1" outlineLevel="1" x14ac:dyDescent="0.25">
      <c r="A107" s="188" t="s">
        <v>262</v>
      </c>
      <c r="B107" s="174" t="s">
        <v>52</v>
      </c>
      <c r="C107" s="179" t="s">
        <v>4</v>
      </c>
      <c r="D107" s="177" t="s">
        <v>386</v>
      </c>
      <c r="E107" s="177" t="s">
        <v>386</v>
      </c>
      <c r="F107" s="177" t="s">
        <v>386</v>
      </c>
      <c r="G107" s="177" t="s">
        <v>386</v>
      </c>
      <c r="H107" s="177" t="s">
        <v>386</v>
      </c>
      <c r="I107" s="177" t="s">
        <v>386</v>
      </c>
      <c r="J107" s="177" t="s">
        <v>386</v>
      </c>
      <c r="K107" s="177" t="s">
        <v>386</v>
      </c>
      <c r="L107" s="177" t="s">
        <v>386</v>
      </c>
      <c r="M107" s="177" t="s">
        <v>386</v>
      </c>
      <c r="N107" s="177" t="s">
        <v>386</v>
      </c>
      <c r="O107" s="177" t="s">
        <v>386</v>
      </c>
      <c r="P107" s="177" t="s">
        <v>386</v>
      </c>
      <c r="Q107" s="177" t="s">
        <v>386</v>
      </c>
      <c r="R107" s="177" t="s">
        <v>386</v>
      </c>
      <c r="S107" s="177" t="s">
        <v>386</v>
      </c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234"/>
      <c r="AF107" s="234"/>
      <c r="AG107" s="235"/>
      <c r="AH107" s="195"/>
    </row>
    <row r="108" spans="1:35" s="189" customFormat="1" ht="25.5" hidden="1" outlineLevel="1" x14ac:dyDescent="0.25">
      <c r="A108" s="179" t="s">
        <v>263</v>
      </c>
      <c r="B108" s="193" t="s">
        <v>53</v>
      </c>
      <c r="C108" s="179" t="s">
        <v>4</v>
      </c>
      <c r="D108" s="177" t="s">
        <v>373</v>
      </c>
      <c r="E108" s="177" t="s">
        <v>373</v>
      </c>
      <c r="F108" s="177" t="s">
        <v>373</v>
      </c>
      <c r="G108" s="177" t="s">
        <v>373</v>
      </c>
      <c r="H108" s="177" t="s">
        <v>373</v>
      </c>
      <c r="I108" s="177" t="s">
        <v>373</v>
      </c>
      <c r="J108" s="177" t="s">
        <v>373</v>
      </c>
      <c r="K108" s="177" t="s">
        <v>373</v>
      </c>
      <c r="L108" s="177" t="s">
        <v>373</v>
      </c>
      <c r="M108" s="177" t="s">
        <v>373</v>
      </c>
      <c r="N108" s="177" t="s">
        <v>373</v>
      </c>
      <c r="O108" s="177" t="s">
        <v>373</v>
      </c>
      <c r="P108" s="177" t="s">
        <v>373</v>
      </c>
      <c r="Q108" s="177" t="s">
        <v>373</v>
      </c>
      <c r="R108" s="177" t="s">
        <v>373</v>
      </c>
      <c r="S108" s="177" t="s">
        <v>373</v>
      </c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234"/>
      <c r="AF108" s="234"/>
      <c r="AG108" s="235"/>
      <c r="AH108" s="195"/>
    </row>
    <row r="109" spans="1:35" s="189" customFormat="1" hidden="1" outlineLevel="1" x14ac:dyDescent="0.25">
      <c r="A109" s="179" t="s">
        <v>264</v>
      </c>
      <c r="B109" s="193" t="s">
        <v>2</v>
      </c>
      <c r="C109" s="179" t="s">
        <v>4</v>
      </c>
      <c r="D109" s="181" t="s">
        <v>380</v>
      </c>
      <c r="E109" s="181" t="s">
        <v>380</v>
      </c>
      <c r="F109" s="181" t="s">
        <v>380</v>
      </c>
      <c r="G109" s="181" t="s">
        <v>380</v>
      </c>
      <c r="H109" s="181" t="s">
        <v>380</v>
      </c>
      <c r="I109" s="181" t="s">
        <v>380</v>
      </c>
      <c r="J109" s="181" t="s">
        <v>380</v>
      </c>
      <c r="K109" s="181" t="s">
        <v>380</v>
      </c>
      <c r="L109" s="181" t="s">
        <v>380</v>
      </c>
      <c r="M109" s="181" t="s">
        <v>380</v>
      </c>
      <c r="N109" s="181" t="s">
        <v>380</v>
      </c>
      <c r="O109" s="181" t="s">
        <v>380</v>
      </c>
      <c r="P109" s="181" t="s">
        <v>380</v>
      </c>
      <c r="Q109" s="181" t="s">
        <v>380</v>
      </c>
      <c r="R109" s="181" t="s">
        <v>380</v>
      </c>
      <c r="S109" s="181" t="s">
        <v>380</v>
      </c>
      <c r="T109" s="181"/>
      <c r="U109" s="181"/>
      <c r="V109" s="181"/>
      <c r="W109" s="181"/>
      <c r="X109" s="181"/>
      <c r="Y109" s="194"/>
      <c r="Z109" s="181"/>
      <c r="AA109" s="181"/>
      <c r="AB109" s="181"/>
      <c r="AC109" s="181"/>
      <c r="AD109" s="181"/>
      <c r="AE109" s="234"/>
      <c r="AF109" s="234"/>
      <c r="AG109" s="235"/>
      <c r="AH109" s="195"/>
    </row>
    <row r="110" spans="1:35" s="189" customFormat="1" hidden="1" outlineLevel="1" x14ac:dyDescent="0.25">
      <c r="A110" s="179" t="s">
        <v>265</v>
      </c>
      <c r="B110" s="193" t="s">
        <v>54</v>
      </c>
      <c r="C110" s="179" t="s">
        <v>38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84"/>
      <c r="Z110" s="190"/>
      <c r="AA110" s="190"/>
      <c r="AB110" s="190"/>
      <c r="AC110" s="190"/>
      <c r="AD110" s="190"/>
      <c r="AE110" s="234"/>
      <c r="AF110" s="234"/>
      <c r="AG110" s="235"/>
      <c r="AH110" s="195"/>
    </row>
    <row r="111" spans="1:35" s="189" customFormat="1" hidden="1" outlineLevel="1" collapsed="1" x14ac:dyDescent="0.25">
      <c r="A111" s="187" t="s">
        <v>202</v>
      </c>
      <c r="B111" s="174" t="s">
        <v>39</v>
      </c>
      <c r="C111" s="179" t="s">
        <v>4</v>
      </c>
      <c r="D111" s="176" t="s">
        <v>387</v>
      </c>
      <c r="E111" s="176" t="s">
        <v>387</v>
      </c>
      <c r="F111" s="176" t="s">
        <v>387</v>
      </c>
      <c r="G111" s="176" t="s">
        <v>387</v>
      </c>
      <c r="H111" s="176" t="s">
        <v>387</v>
      </c>
      <c r="I111" s="176" t="s">
        <v>387</v>
      </c>
      <c r="J111" s="176" t="s">
        <v>387</v>
      </c>
      <c r="K111" s="176" t="s">
        <v>387</v>
      </c>
      <c r="L111" s="176" t="s">
        <v>387</v>
      </c>
      <c r="M111" s="176" t="s">
        <v>387</v>
      </c>
      <c r="N111" s="176" t="s">
        <v>387</v>
      </c>
      <c r="O111" s="176" t="s">
        <v>387</v>
      </c>
      <c r="P111" s="176" t="s">
        <v>387</v>
      </c>
      <c r="Q111" s="176" t="s">
        <v>387</v>
      </c>
      <c r="R111" s="176" t="s">
        <v>387</v>
      </c>
      <c r="S111" s="176" t="s">
        <v>387</v>
      </c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234"/>
      <c r="AF111" s="234"/>
      <c r="AG111" s="235"/>
      <c r="AH111" s="195"/>
    </row>
    <row r="112" spans="1:35" s="189" customFormat="1" ht="25.5" hidden="1" outlineLevel="1" x14ac:dyDescent="0.25">
      <c r="A112" s="177" t="s">
        <v>203</v>
      </c>
      <c r="B112" s="193" t="s">
        <v>51</v>
      </c>
      <c r="C112" s="179" t="s">
        <v>38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84"/>
      <c r="Z112" s="190"/>
      <c r="AA112" s="190"/>
      <c r="AB112" s="190"/>
      <c r="AC112" s="190"/>
      <c r="AD112" s="190"/>
      <c r="AE112" s="234"/>
      <c r="AF112" s="234"/>
      <c r="AG112" s="235"/>
      <c r="AI112" s="195"/>
    </row>
    <row r="113" spans="1:35" s="189" customFormat="1" ht="41.25" hidden="1" customHeight="1" outlineLevel="1" x14ac:dyDescent="0.25">
      <c r="A113" s="188" t="s">
        <v>266</v>
      </c>
      <c r="B113" s="174" t="s">
        <v>52</v>
      </c>
      <c r="C113" s="179" t="s">
        <v>4</v>
      </c>
      <c r="D113" s="177" t="s">
        <v>388</v>
      </c>
      <c r="E113" s="177" t="s">
        <v>388</v>
      </c>
      <c r="F113" s="177" t="s">
        <v>388</v>
      </c>
      <c r="G113" s="177" t="s">
        <v>388</v>
      </c>
      <c r="H113" s="177" t="s">
        <v>388</v>
      </c>
      <c r="I113" s="177" t="s">
        <v>388</v>
      </c>
      <c r="J113" s="177" t="s">
        <v>388</v>
      </c>
      <c r="K113" s="177" t="s">
        <v>388</v>
      </c>
      <c r="L113" s="177" t="s">
        <v>388</v>
      </c>
      <c r="M113" s="177" t="s">
        <v>388</v>
      </c>
      <c r="N113" s="177" t="s">
        <v>388</v>
      </c>
      <c r="O113" s="177" t="s">
        <v>388</v>
      </c>
      <c r="P113" s="177" t="s">
        <v>388</v>
      </c>
      <c r="Q113" s="177" t="s">
        <v>388</v>
      </c>
      <c r="R113" s="177" t="s">
        <v>388</v>
      </c>
      <c r="S113" s="177" t="s">
        <v>388</v>
      </c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234"/>
      <c r="AF113" s="234"/>
      <c r="AG113" s="235"/>
      <c r="AI113" s="195"/>
    </row>
    <row r="114" spans="1:35" s="189" customFormat="1" ht="25.5" hidden="1" outlineLevel="1" x14ac:dyDescent="0.25">
      <c r="A114" s="179" t="s">
        <v>267</v>
      </c>
      <c r="B114" s="193" t="s">
        <v>53</v>
      </c>
      <c r="C114" s="179" t="s">
        <v>4</v>
      </c>
      <c r="D114" s="181" t="s">
        <v>356</v>
      </c>
      <c r="E114" s="181" t="s">
        <v>356</v>
      </c>
      <c r="F114" s="181" t="s">
        <v>356</v>
      </c>
      <c r="G114" s="181" t="s">
        <v>356</v>
      </c>
      <c r="H114" s="181" t="s">
        <v>356</v>
      </c>
      <c r="I114" s="181" t="s">
        <v>356</v>
      </c>
      <c r="J114" s="181" t="s">
        <v>356</v>
      </c>
      <c r="K114" s="181" t="s">
        <v>356</v>
      </c>
      <c r="L114" s="181" t="s">
        <v>356</v>
      </c>
      <c r="M114" s="181" t="s">
        <v>356</v>
      </c>
      <c r="N114" s="181" t="s">
        <v>356</v>
      </c>
      <c r="O114" s="181" t="s">
        <v>356</v>
      </c>
      <c r="P114" s="181" t="s">
        <v>356</v>
      </c>
      <c r="Q114" s="181" t="s">
        <v>356</v>
      </c>
      <c r="R114" s="181" t="s">
        <v>356</v>
      </c>
      <c r="S114" s="181" t="s">
        <v>356</v>
      </c>
      <c r="T114" s="181"/>
      <c r="U114" s="181"/>
      <c r="V114" s="181"/>
      <c r="W114" s="181"/>
      <c r="X114" s="181"/>
      <c r="Y114" s="177"/>
      <c r="Z114" s="181"/>
      <c r="AA114" s="181"/>
      <c r="AB114" s="181"/>
      <c r="AC114" s="181"/>
      <c r="AD114" s="181"/>
      <c r="AE114" s="234"/>
      <c r="AF114" s="234"/>
      <c r="AG114" s="235"/>
      <c r="AI114" s="195"/>
    </row>
    <row r="115" spans="1:35" s="189" customFormat="1" hidden="1" outlineLevel="1" x14ac:dyDescent="0.25">
      <c r="A115" s="179" t="s">
        <v>268</v>
      </c>
      <c r="B115" s="193" t="s">
        <v>2</v>
      </c>
      <c r="C115" s="179" t="s">
        <v>4</v>
      </c>
      <c r="D115" s="181" t="s">
        <v>380</v>
      </c>
      <c r="E115" s="181" t="s">
        <v>380</v>
      </c>
      <c r="F115" s="181" t="s">
        <v>380</v>
      </c>
      <c r="G115" s="181" t="s">
        <v>380</v>
      </c>
      <c r="H115" s="181" t="s">
        <v>380</v>
      </c>
      <c r="I115" s="181" t="s">
        <v>380</v>
      </c>
      <c r="J115" s="181" t="s">
        <v>380</v>
      </c>
      <c r="K115" s="181" t="s">
        <v>380</v>
      </c>
      <c r="L115" s="181" t="s">
        <v>380</v>
      </c>
      <c r="M115" s="181" t="s">
        <v>380</v>
      </c>
      <c r="N115" s="181" t="s">
        <v>380</v>
      </c>
      <c r="O115" s="181" t="s">
        <v>380</v>
      </c>
      <c r="P115" s="181" t="s">
        <v>380</v>
      </c>
      <c r="Q115" s="181" t="s">
        <v>380</v>
      </c>
      <c r="R115" s="181" t="s">
        <v>380</v>
      </c>
      <c r="S115" s="181" t="s">
        <v>380</v>
      </c>
      <c r="T115" s="181"/>
      <c r="U115" s="181"/>
      <c r="V115" s="181"/>
      <c r="W115" s="181"/>
      <c r="X115" s="181"/>
      <c r="Y115" s="194"/>
      <c r="Z115" s="181"/>
      <c r="AA115" s="181"/>
      <c r="AB115" s="181"/>
      <c r="AC115" s="181"/>
      <c r="AD115" s="181"/>
      <c r="AE115" s="234"/>
      <c r="AF115" s="234"/>
      <c r="AG115" s="235"/>
      <c r="AI115" s="195"/>
    </row>
    <row r="116" spans="1:35" s="189" customFormat="1" hidden="1" outlineLevel="1" x14ac:dyDescent="0.25">
      <c r="A116" s="179" t="s">
        <v>269</v>
      </c>
      <c r="B116" s="193" t="s">
        <v>54</v>
      </c>
      <c r="C116" s="179" t="s">
        <v>38</v>
      </c>
      <c r="D116" s="190">
        <v>1.8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77">
        <v>0</v>
      </c>
      <c r="K116" s="190">
        <v>1.8</v>
      </c>
      <c r="L116" s="190">
        <v>1.8</v>
      </c>
      <c r="M116" s="190">
        <v>1.8</v>
      </c>
      <c r="N116" s="190">
        <v>1.8</v>
      </c>
      <c r="O116" s="190">
        <v>1.8</v>
      </c>
      <c r="P116" s="190">
        <v>1.8</v>
      </c>
      <c r="Q116" s="177">
        <v>1.8</v>
      </c>
      <c r="R116" s="190">
        <v>1.8</v>
      </c>
      <c r="S116" s="190">
        <v>1.8</v>
      </c>
      <c r="T116" s="190"/>
      <c r="U116" s="177"/>
      <c r="V116" s="177"/>
      <c r="W116" s="177"/>
      <c r="X116" s="177"/>
      <c r="Y116" s="184"/>
      <c r="Z116" s="177"/>
      <c r="AA116" s="190"/>
      <c r="AB116" s="190"/>
      <c r="AC116" s="177"/>
      <c r="AD116" s="177"/>
      <c r="AE116" s="234"/>
      <c r="AF116" s="234"/>
      <c r="AG116" s="235"/>
      <c r="AI116" s="195"/>
    </row>
    <row r="117" spans="1:35" s="189" customFormat="1" ht="15.75" hidden="1" customHeight="1" outlineLevel="1" collapsed="1" x14ac:dyDescent="0.25">
      <c r="A117" s="187" t="s">
        <v>202</v>
      </c>
      <c r="B117" s="174" t="s">
        <v>39</v>
      </c>
      <c r="C117" s="179" t="s">
        <v>4</v>
      </c>
      <c r="D117" s="176" t="s">
        <v>389</v>
      </c>
      <c r="E117" s="176" t="s">
        <v>389</v>
      </c>
      <c r="F117" s="176" t="s">
        <v>389</v>
      </c>
      <c r="G117" s="176" t="s">
        <v>389</v>
      </c>
      <c r="H117" s="176" t="s">
        <v>389</v>
      </c>
      <c r="I117" s="176" t="s">
        <v>389</v>
      </c>
      <c r="J117" s="176" t="s">
        <v>389</v>
      </c>
      <c r="K117" s="176" t="s">
        <v>389</v>
      </c>
      <c r="L117" s="176" t="s">
        <v>389</v>
      </c>
      <c r="M117" s="176" t="s">
        <v>389</v>
      </c>
      <c r="N117" s="176" t="s">
        <v>389</v>
      </c>
      <c r="O117" s="176" t="s">
        <v>389</v>
      </c>
      <c r="P117" s="176" t="s">
        <v>389</v>
      </c>
      <c r="Q117" s="176" t="s">
        <v>389</v>
      </c>
      <c r="R117" s="176" t="s">
        <v>389</v>
      </c>
      <c r="S117" s="176" t="s">
        <v>389</v>
      </c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234"/>
      <c r="AF117" s="234"/>
      <c r="AG117" s="235"/>
      <c r="AI117" s="195"/>
    </row>
    <row r="118" spans="1:35" s="189" customFormat="1" ht="25.5" hidden="1" customHeight="1" outlineLevel="1" x14ac:dyDescent="0.25">
      <c r="A118" s="177" t="s">
        <v>203</v>
      </c>
      <c r="B118" s="193" t="s">
        <v>51</v>
      </c>
      <c r="C118" s="179" t="s">
        <v>38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84"/>
      <c r="Z118" s="190"/>
      <c r="AA118" s="190"/>
      <c r="AB118" s="190"/>
      <c r="AC118" s="190"/>
      <c r="AD118" s="190"/>
      <c r="AE118" s="234"/>
      <c r="AF118" s="234"/>
      <c r="AG118" s="235"/>
      <c r="AI118" s="195"/>
    </row>
    <row r="119" spans="1:35" s="189" customFormat="1" ht="41.25" hidden="1" customHeight="1" outlineLevel="1" x14ac:dyDescent="0.25">
      <c r="A119" s="188" t="s">
        <v>270</v>
      </c>
      <c r="B119" s="174" t="s">
        <v>52</v>
      </c>
      <c r="C119" s="179" t="s">
        <v>4</v>
      </c>
      <c r="D119" s="177" t="s">
        <v>390</v>
      </c>
      <c r="E119" s="177" t="s">
        <v>390</v>
      </c>
      <c r="F119" s="177" t="s">
        <v>390</v>
      </c>
      <c r="G119" s="177" t="s">
        <v>390</v>
      </c>
      <c r="H119" s="177" t="s">
        <v>390</v>
      </c>
      <c r="I119" s="177" t="s">
        <v>390</v>
      </c>
      <c r="J119" s="177" t="s">
        <v>390</v>
      </c>
      <c r="K119" s="177" t="s">
        <v>390</v>
      </c>
      <c r="L119" s="177" t="s">
        <v>390</v>
      </c>
      <c r="M119" s="177" t="s">
        <v>390</v>
      </c>
      <c r="N119" s="177" t="s">
        <v>390</v>
      </c>
      <c r="O119" s="177" t="s">
        <v>390</v>
      </c>
      <c r="P119" s="177" t="s">
        <v>390</v>
      </c>
      <c r="Q119" s="177" t="s">
        <v>390</v>
      </c>
      <c r="R119" s="177" t="s">
        <v>390</v>
      </c>
      <c r="S119" s="177" t="s">
        <v>390</v>
      </c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234"/>
      <c r="AF119" s="234"/>
      <c r="AG119" s="235"/>
      <c r="AI119" s="195"/>
    </row>
    <row r="120" spans="1:35" s="189" customFormat="1" ht="25.5" hidden="1" customHeight="1" outlineLevel="1" x14ac:dyDescent="0.25">
      <c r="A120" s="179" t="s">
        <v>271</v>
      </c>
      <c r="B120" s="193" t="s">
        <v>53</v>
      </c>
      <c r="C120" s="179" t="s">
        <v>4</v>
      </c>
      <c r="D120" s="177" t="s">
        <v>361</v>
      </c>
      <c r="E120" s="177" t="s">
        <v>361</v>
      </c>
      <c r="F120" s="177" t="s">
        <v>361</v>
      </c>
      <c r="G120" s="177" t="s">
        <v>361</v>
      </c>
      <c r="H120" s="177" t="s">
        <v>361</v>
      </c>
      <c r="I120" s="177" t="s">
        <v>361</v>
      </c>
      <c r="J120" s="177" t="s">
        <v>361</v>
      </c>
      <c r="K120" s="177" t="s">
        <v>361</v>
      </c>
      <c r="L120" s="177" t="s">
        <v>361</v>
      </c>
      <c r="M120" s="177" t="s">
        <v>361</v>
      </c>
      <c r="N120" s="177" t="s">
        <v>361</v>
      </c>
      <c r="O120" s="177" t="s">
        <v>361</v>
      </c>
      <c r="P120" s="177" t="s">
        <v>361</v>
      </c>
      <c r="Q120" s="177" t="s">
        <v>361</v>
      </c>
      <c r="R120" s="177" t="s">
        <v>361</v>
      </c>
      <c r="S120" s="177" t="s">
        <v>361</v>
      </c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234"/>
      <c r="AF120" s="234"/>
      <c r="AG120" s="235"/>
      <c r="AI120" s="195"/>
    </row>
    <row r="121" spans="1:35" s="189" customFormat="1" ht="15.75" hidden="1" customHeight="1" outlineLevel="1" x14ac:dyDescent="0.25">
      <c r="A121" s="179" t="s">
        <v>272</v>
      </c>
      <c r="B121" s="193" t="s">
        <v>2</v>
      </c>
      <c r="C121" s="179" t="s">
        <v>4</v>
      </c>
      <c r="D121" s="181" t="s">
        <v>391</v>
      </c>
      <c r="E121" s="181" t="s">
        <v>391</v>
      </c>
      <c r="F121" s="181" t="s">
        <v>391</v>
      </c>
      <c r="G121" s="181" t="s">
        <v>391</v>
      </c>
      <c r="H121" s="181" t="s">
        <v>391</v>
      </c>
      <c r="I121" s="181" t="s">
        <v>391</v>
      </c>
      <c r="J121" s="181" t="s">
        <v>391</v>
      </c>
      <c r="K121" s="181" t="s">
        <v>391</v>
      </c>
      <c r="L121" s="181" t="s">
        <v>391</v>
      </c>
      <c r="M121" s="181" t="s">
        <v>391</v>
      </c>
      <c r="N121" s="181" t="s">
        <v>391</v>
      </c>
      <c r="O121" s="181" t="s">
        <v>391</v>
      </c>
      <c r="P121" s="181" t="s">
        <v>391</v>
      </c>
      <c r="Q121" s="181" t="s">
        <v>391</v>
      </c>
      <c r="R121" s="181" t="s">
        <v>391</v>
      </c>
      <c r="S121" s="181" t="s">
        <v>391</v>
      </c>
      <c r="T121" s="181"/>
      <c r="U121" s="181"/>
      <c r="V121" s="181"/>
      <c r="W121" s="181"/>
      <c r="X121" s="181"/>
      <c r="Y121" s="194"/>
      <c r="Z121" s="181"/>
      <c r="AA121" s="181"/>
      <c r="AB121" s="181"/>
      <c r="AC121" s="181"/>
      <c r="AD121" s="181"/>
      <c r="AE121" s="234"/>
      <c r="AF121" s="234"/>
      <c r="AG121" s="235"/>
      <c r="AI121" s="195"/>
    </row>
    <row r="122" spans="1:35" s="189" customFormat="1" ht="15.75" hidden="1" customHeight="1" outlineLevel="1" x14ac:dyDescent="0.25">
      <c r="A122" s="179" t="s">
        <v>273</v>
      </c>
      <c r="B122" s="193" t="s">
        <v>54</v>
      </c>
      <c r="C122" s="179" t="s">
        <v>38</v>
      </c>
      <c r="D122" s="190">
        <v>407.24</v>
      </c>
      <c r="E122" s="190">
        <v>407.24</v>
      </c>
      <c r="F122" s="190">
        <v>407.24</v>
      </c>
      <c r="G122" s="190">
        <v>407.24</v>
      </c>
      <c r="H122" s="190">
        <v>407.24</v>
      </c>
      <c r="I122" s="190">
        <v>407.24</v>
      </c>
      <c r="J122" s="190">
        <v>407.24</v>
      </c>
      <c r="K122" s="190">
        <v>407.24</v>
      </c>
      <c r="L122" s="190">
        <v>407.24</v>
      </c>
      <c r="M122" s="190">
        <v>407.24</v>
      </c>
      <c r="N122" s="190">
        <v>407.24</v>
      </c>
      <c r="O122" s="190">
        <v>407.24</v>
      </c>
      <c r="P122" s="190">
        <v>407.24</v>
      </c>
      <c r="Q122" s="190">
        <v>407.24</v>
      </c>
      <c r="R122" s="190">
        <v>407.24</v>
      </c>
      <c r="S122" s="190">
        <v>407.24</v>
      </c>
      <c r="T122" s="190"/>
      <c r="U122" s="190"/>
      <c r="V122" s="190"/>
      <c r="W122" s="190"/>
      <c r="X122" s="190"/>
      <c r="Y122" s="184"/>
      <c r="Z122" s="190"/>
      <c r="AA122" s="190"/>
      <c r="AB122" s="190"/>
      <c r="AC122" s="190"/>
      <c r="AD122" s="190"/>
      <c r="AE122" s="234"/>
      <c r="AF122" s="234"/>
      <c r="AG122" s="235"/>
      <c r="AI122" s="195"/>
    </row>
    <row r="123" spans="1:35" s="189" customFormat="1" ht="15.75" hidden="1" customHeight="1" outlineLevel="1" x14ac:dyDescent="0.25">
      <c r="A123" s="187" t="s">
        <v>202</v>
      </c>
      <c r="B123" s="174" t="s">
        <v>39</v>
      </c>
      <c r="C123" s="179" t="s">
        <v>4</v>
      </c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234"/>
      <c r="AF123" s="234"/>
      <c r="AG123" s="235"/>
      <c r="AI123" s="195"/>
    </row>
    <row r="124" spans="1:35" s="189" customFormat="1" ht="25.5" hidden="1" customHeight="1" outlineLevel="1" x14ac:dyDescent="0.25">
      <c r="A124" s="177" t="s">
        <v>203</v>
      </c>
      <c r="B124" s="193" t="s">
        <v>51</v>
      </c>
      <c r="C124" s="179" t="s">
        <v>38</v>
      </c>
      <c r="D124" s="184">
        <v>1.9804304154870547</v>
      </c>
      <c r="E124" s="184">
        <v>0.16747180926427646</v>
      </c>
      <c r="F124" s="184">
        <v>0.13106763137598867</v>
      </c>
      <c r="G124" s="184">
        <v>5.4221072101588934E-2</v>
      </c>
      <c r="H124" s="184">
        <v>9.1532113345023952E-2</v>
      </c>
      <c r="I124" s="184" t="e">
        <v>#DIV/0!</v>
      </c>
      <c r="J124" s="184">
        <v>0.15775392577313929</v>
      </c>
      <c r="K124" s="184">
        <v>2.0478118752502041</v>
      </c>
      <c r="L124" s="184">
        <v>1.8073579893665481</v>
      </c>
      <c r="M124" s="184">
        <v>1.4052146989675092</v>
      </c>
      <c r="N124" s="184">
        <v>1.4342251230758949</v>
      </c>
      <c r="O124" s="184">
        <v>0.98950758297090857</v>
      </c>
      <c r="P124" s="184">
        <v>2.2579180023279788</v>
      </c>
      <c r="Q124" s="184">
        <v>2.0816913623438125</v>
      </c>
      <c r="R124" s="184">
        <v>1.8469883732601002</v>
      </c>
      <c r="S124" s="184">
        <v>1.8467240174279105</v>
      </c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234"/>
      <c r="AF124" s="234"/>
      <c r="AG124" s="235"/>
      <c r="AI124" s="195"/>
    </row>
    <row r="125" spans="1:35" s="189" customFormat="1" ht="41.25" hidden="1" customHeight="1" outlineLevel="1" x14ac:dyDescent="0.25">
      <c r="A125" s="188" t="s">
        <v>274</v>
      </c>
      <c r="B125" s="174" t="s">
        <v>52</v>
      </c>
      <c r="C125" s="179" t="s">
        <v>4</v>
      </c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234"/>
      <c r="AF125" s="234"/>
      <c r="AG125" s="235"/>
      <c r="AI125" s="195"/>
    </row>
    <row r="126" spans="1:35" s="189" customFormat="1" ht="25.5" hidden="1" customHeight="1" outlineLevel="1" x14ac:dyDescent="0.25">
      <c r="A126" s="179" t="s">
        <v>275</v>
      </c>
      <c r="B126" s="193" t="s">
        <v>53</v>
      </c>
      <c r="C126" s="179" t="s">
        <v>4</v>
      </c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234"/>
      <c r="AF126" s="234"/>
      <c r="AG126" s="235"/>
      <c r="AI126" s="195"/>
    </row>
    <row r="127" spans="1:35" s="189" customFormat="1" ht="15.75" hidden="1" customHeight="1" outlineLevel="1" x14ac:dyDescent="0.25">
      <c r="A127" s="179" t="s">
        <v>276</v>
      </c>
      <c r="B127" s="193" t="s">
        <v>2</v>
      </c>
      <c r="C127" s="179" t="s">
        <v>4</v>
      </c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234"/>
      <c r="AF127" s="234"/>
      <c r="AG127" s="235"/>
      <c r="AI127" s="195"/>
    </row>
    <row r="128" spans="1:35" s="189" customFormat="1" ht="15.75" hidden="1" customHeight="1" outlineLevel="1" x14ac:dyDescent="0.25">
      <c r="A128" s="179" t="s">
        <v>277</v>
      </c>
      <c r="B128" s="193" t="s">
        <v>54</v>
      </c>
      <c r="C128" s="179" t="s">
        <v>38</v>
      </c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234"/>
      <c r="AF128" s="234"/>
      <c r="AG128" s="235"/>
      <c r="AI128" s="195"/>
    </row>
    <row r="129" spans="1:35" s="189" customFormat="1" ht="15.75" hidden="1" customHeight="1" outlineLevel="1" x14ac:dyDescent="0.25">
      <c r="A129" s="187" t="s">
        <v>202</v>
      </c>
      <c r="B129" s="174" t="s">
        <v>39</v>
      </c>
      <c r="C129" s="179" t="s">
        <v>4</v>
      </c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234"/>
      <c r="AF129" s="234"/>
      <c r="AG129" s="235"/>
      <c r="AI129" s="195"/>
    </row>
    <row r="130" spans="1:35" s="189" customFormat="1" ht="25.5" hidden="1" customHeight="1" outlineLevel="1" x14ac:dyDescent="0.25">
      <c r="A130" s="177" t="s">
        <v>203</v>
      </c>
      <c r="B130" s="193" t="s">
        <v>51</v>
      </c>
      <c r="C130" s="179" t="s">
        <v>38</v>
      </c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234"/>
      <c r="AF130" s="234"/>
      <c r="AG130" s="235"/>
      <c r="AI130" s="195"/>
    </row>
    <row r="131" spans="1:35" s="189" customFormat="1" ht="41.25" hidden="1" customHeight="1" outlineLevel="1" x14ac:dyDescent="0.25">
      <c r="A131" s="188" t="s">
        <v>278</v>
      </c>
      <c r="B131" s="174" t="s">
        <v>52</v>
      </c>
      <c r="C131" s="179" t="s">
        <v>4</v>
      </c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234"/>
      <c r="AF131" s="234"/>
      <c r="AG131" s="235"/>
      <c r="AI131" s="195"/>
    </row>
    <row r="132" spans="1:35" s="189" customFormat="1" ht="25.5" hidden="1" customHeight="1" outlineLevel="1" x14ac:dyDescent="0.25">
      <c r="A132" s="179" t="s">
        <v>279</v>
      </c>
      <c r="B132" s="193" t="s">
        <v>53</v>
      </c>
      <c r="C132" s="179" t="s">
        <v>4</v>
      </c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234"/>
      <c r="AF132" s="234"/>
      <c r="AG132" s="235"/>
      <c r="AI132" s="195"/>
    </row>
    <row r="133" spans="1:35" s="189" customFormat="1" ht="15.75" hidden="1" customHeight="1" outlineLevel="1" x14ac:dyDescent="0.25">
      <c r="A133" s="179" t="s">
        <v>280</v>
      </c>
      <c r="B133" s="193" t="s">
        <v>2</v>
      </c>
      <c r="C133" s="179" t="s">
        <v>4</v>
      </c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234"/>
      <c r="AF133" s="234"/>
      <c r="AG133" s="235"/>
      <c r="AI133" s="195"/>
    </row>
    <row r="134" spans="1:35" s="189" customFormat="1" hidden="1" outlineLevel="1" x14ac:dyDescent="0.25">
      <c r="A134" s="179" t="s">
        <v>281</v>
      </c>
      <c r="B134" s="193" t="s">
        <v>54</v>
      </c>
      <c r="C134" s="179" t="s">
        <v>38</v>
      </c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234"/>
      <c r="AF134" s="234"/>
      <c r="AG134" s="235"/>
    </row>
    <row r="135" spans="1:35" s="189" customFormat="1" hidden="1" outlineLevel="1" x14ac:dyDescent="0.25">
      <c r="A135" s="187" t="s">
        <v>202</v>
      </c>
      <c r="B135" s="174" t="s">
        <v>39</v>
      </c>
      <c r="C135" s="179" t="s">
        <v>4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234"/>
      <c r="AF135" s="234"/>
      <c r="AG135" s="235"/>
    </row>
    <row r="136" spans="1:35" s="189" customFormat="1" ht="25.5" hidden="1" outlineLevel="1" x14ac:dyDescent="0.25">
      <c r="A136" s="177" t="s">
        <v>203</v>
      </c>
      <c r="B136" s="193" t="s">
        <v>51</v>
      </c>
      <c r="C136" s="179" t="s">
        <v>38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234"/>
      <c r="AF136" s="234"/>
      <c r="AG136" s="235"/>
    </row>
    <row r="137" spans="1:35" s="189" customFormat="1" ht="41.25" hidden="1" customHeight="1" outlineLevel="1" x14ac:dyDescent="0.25">
      <c r="A137" s="188" t="s">
        <v>282</v>
      </c>
      <c r="B137" s="174" t="s">
        <v>52</v>
      </c>
      <c r="C137" s="179" t="s">
        <v>4</v>
      </c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234"/>
      <c r="AF137" s="234"/>
      <c r="AG137" s="235"/>
    </row>
    <row r="138" spans="1:35" s="189" customFormat="1" ht="25.5" hidden="1" outlineLevel="1" x14ac:dyDescent="0.25">
      <c r="A138" s="179" t="s">
        <v>283</v>
      </c>
      <c r="B138" s="193" t="s">
        <v>53</v>
      </c>
      <c r="C138" s="179" t="s">
        <v>4</v>
      </c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234"/>
      <c r="AF138" s="234"/>
      <c r="AG138" s="235"/>
    </row>
    <row r="139" spans="1:35" s="189" customFormat="1" hidden="1" outlineLevel="1" x14ac:dyDescent="0.25">
      <c r="A139" s="179" t="s">
        <v>284</v>
      </c>
      <c r="B139" s="193" t="s">
        <v>2</v>
      </c>
      <c r="C139" s="179" t="s">
        <v>4</v>
      </c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234"/>
      <c r="AF139" s="234"/>
      <c r="AG139" s="235"/>
    </row>
    <row r="140" spans="1:35" s="189" customFormat="1" hidden="1" outlineLevel="1" x14ac:dyDescent="0.25">
      <c r="A140" s="179" t="s">
        <v>285</v>
      </c>
      <c r="B140" s="193" t="s">
        <v>54</v>
      </c>
      <c r="C140" s="179" t="s">
        <v>38</v>
      </c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234"/>
      <c r="AF140" s="234"/>
      <c r="AG140" s="235"/>
    </row>
    <row r="141" spans="1:35" s="189" customFormat="1" hidden="1" outlineLevel="1" x14ac:dyDescent="0.25">
      <c r="A141" s="187" t="s">
        <v>202</v>
      </c>
      <c r="B141" s="174" t="s">
        <v>39</v>
      </c>
      <c r="C141" s="179" t="s">
        <v>4</v>
      </c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234"/>
      <c r="AF141" s="234"/>
      <c r="AG141" s="235"/>
    </row>
    <row r="142" spans="1:35" s="189" customFormat="1" ht="25.5" hidden="1" outlineLevel="1" x14ac:dyDescent="0.25">
      <c r="A142" s="177" t="s">
        <v>203</v>
      </c>
      <c r="B142" s="193" t="s">
        <v>51</v>
      </c>
      <c r="C142" s="179" t="s">
        <v>38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234"/>
      <c r="AF142" s="234"/>
      <c r="AG142" s="235"/>
    </row>
    <row r="143" spans="1:35" s="189" customFormat="1" ht="41.25" hidden="1" customHeight="1" outlineLevel="1" x14ac:dyDescent="0.25">
      <c r="A143" s="188" t="s">
        <v>286</v>
      </c>
      <c r="B143" s="174" t="s">
        <v>52</v>
      </c>
      <c r="C143" s="179" t="s">
        <v>4</v>
      </c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234"/>
      <c r="AF143" s="234"/>
      <c r="AG143" s="235"/>
    </row>
    <row r="144" spans="1:35" s="189" customFormat="1" ht="25.5" hidden="1" outlineLevel="1" x14ac:dyDescent="0.25">
      <c r="A144" s="179" t="s">
        <v>287</v>
      </c>
      <c r="B144" s="193" t="s">
        <v>53</v>
      </c>
      <c r="C144" s="179" t="s">
        <v>4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234"/>
      <c r="AF144" s="234"/>
      <c r="AG144" s="235"/>
    </row>
    <row r="145" spans="1:33" s="189" customFormat="1" hidden="1" outlineLevel="1" x14ac:dyDescent="0.25">
      <c r="A145" s="179" t="s">
        <v>288</v>
      </c>
      <c r="B145" s="193" t="s">
        <v>2</v>
      </c>
      <c r="C145" s="179" t="s">
        <v>4</v>
      </c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234"/>
      <c r="AF145" s="234"/>
      <c r="AG145" s="235"/>
    </row>
    <row r="146" spans="1:33" s="189" customFormat="1" hidden="1" outlineLevel="1" x14ac:dyDescent="0.25">
      <c r="A146" s="179" t="s">
        <v>289</v>
      </c>
      <c r="B146" s="193" t="s">
        <v>54</v>
      </c>
      <c r="C146" s="179" t="s">
        <v>38</v>
      </c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234"/>
      <c r="AF146" s="234"/>
      <c r="AG146" s="235"/>
    </row>
    <row r="147" spans="1:33" s="189" customFormat="1" ht="39" customHeight="1" collapsed="1" x14ac:dyDescent="0.25">
      <c r="A147" s="219" t="s">
        <v>55</v>
      </c>
      <c r="B147" s="219"/>
      <c r="C147" s="219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234"/>
      <c r="AF147" s="234"/>
      <c r="AG147" s="235"/>
    </row>
    <row r="148" spans="1:33" s="189" customFormat="1" x14ac:dyDescent="0.25">
      <c r="A148" s="177" t="s">
        <v>24</v>
      </c>
      <c r="B148" s="205" t="s">
        <v>56</v>
      </c>
      <c r="C148" s="179" t="s">
        <v>29</v>
      </c>
      <c r="D148" s="197">
        <v>0</v>
      </c>
      <c r="E148" s="197">
        <v>0</v>
      </c>
      <c r="F148" s="197">
        <v>0</v>
      </c>
      <c r="G148" s="197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0</v>
      </c>
      <c r="M148" s="197">
        <v>0</v>
      </c>
      <c r="N148" s="197">
        <v>0</v>
      </c>
      <c r="O148" s="197">
        <v>0</v>
      </c>
      <c r="P148" s="197">
        <v>0</v>
      </c>
      <c r="Q148" s="197">
        <v>0</v>
      </c>
      <c r="R148" s="197">
        <v>0</v>
      </c>
      <c r="S148" s="197">
        <v>0</v>
      </c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234">
        <f t="shared" ref="AE148:AE151" si="19">SUM(D148:S148)</f>
        <v>0</v>
      </c>
      <c r="AF148" s="234"/>
      <c r="AG148" s="235"/>
    </row>
    <row r="149" spans="1:33" s="189" customFormat="1" x14ac:dyDescent="0.25">
      <c r="A149" s="177" t="s">
        <v>25</v>
      </c>
      <c r="B149" s="205" t="s">
        <v>57</v>
      </c>
      <c r="C149" s="179" t="s">
        <v>29</v>
      </c>
      <c r="D149" s="197">
        <v>0</v>
      </c>
      <c r="E149" s="197">
        <v>0</v>
      </c>
      <c r="F149" s="197">
        <v>0</v>
      </c>
      <c r="G149" s="197">
        <v>0</v>
      </c>
      <c r="H149" s="197">
        <v>0</v>
      </c>
      <c r="I149" s="197">
        <v>0</v>
      </c>
      <c r="J149" s="197">
        <v>0</v>
      </c>
      <c r="K149" s="197">
        <v>0</v>
      </c>
      <c r="L149" s="197">
        <v>0</v>
      </c>
      <c r="M149" s="197">
        <v>0</v>
      </c>
      <c r="N149" s="197">
        <v>0</v>
      </c>
      <c r="O149" s="197">
        <v>0</v>
      </c>
      <c r="P149" s="197">
        <v>0</v>
      </c>
      <c r="Q149" s="197">
        <v>0</v>
      </c>
      <c r="R149" s="197">
        <v>0</v>
      </c>
      <c r="S149" s="197">
        <v>0</v>
      </c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234">
        <f t="shared" si="19"/>
        <v>0</v>
      </c>
      <c r="AF149" s="234"/>
      <c r="AG149" s="235"/>
    </row>
    <row r="150" spans="1:33" s="189" customFormat="1" ht="25.5" x14ac:dyDescent="0.25">
      <c r="A150" s="177" t="s">
        <v>26</v>
      </c>
      <c r="B150" s="205" t="s">
        <v>58</v>
      </c>
      <c r="C150" s="179" t="s">
        <v>29</v>
      </c>
      <c r="D150" s="197">
        <v>0</v>
      </c>
      <c r="E150" s="197">
        <v>0</v>
      </c>
      <c r="F150" s="197">
        <v>0</v>
      </c>
      <c r="G150" s="197">
        <v>0</v>
      </c>
      <c r="H150" s="197">
        <v>0</v>
      </c>
      <c r="I150" s="197">
        <v>0</v>
      </c>
      <c r="J150" s="197">
        <v>0</v>
      </c>
      <c r="K150" s="197">
        <v>0</v>
      </c>
      <c r="L150" s="197">
        <v>0</v>
      </c>
      <c r="M150" s="197">
        <v>0</v>
      </c>
      <c r="N150" s="197">
        <v>0</v>
      </c>
      <c r="O150" s="197">
        <v>0</v>
      </c>
      <c r="P150" s="197">
        <v>0</v>
      </c>
      <c r="Q150" s="197">
        <v>0</v>
      </c>
      <c r="R150" s="197">
        <v>0</v>
      </c>
      <c r="S150" s="197">
        <v>0</v>
      </c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234">
        <f t="shared" si="19"/>
        <v>0</v>
      </c>
      <c r="AF150" s="234"/>
      <c r="AG150" s="235"/>
    </row>
    <row r="151" spans="1:33" s="189" customFormat="1" x14ac:dyDescent="0.25">
      <c r="A151" s="177" t="s">
        <v>27</v>
      </c>
      <c r="B151" s="205" t="s">
        <v>59</v>
      </c>
      <c r="C151" s="179" t="s">
        <v>38</v>
      </c>
      <c r="D151" s="190">
        <v>0</v>
      </c>
      <c r="E151" s="190">
        <v>0</v>
      </c>
      <c r="F151" s="190">
        <v>0</v>
      </c>
      <c r="G151" s="190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190">
        <v>0</v>
      </c>
      <c r="N151" s="190">
        <v>0</v>
      </c>
      <c r="O151" s="190">
        <v>0</v>
      </c>
      <c r="P151" s="190">
        <v>0</v>
      </c>
      <c r="Q151" s="190">
        <v>0</v>
      </c>
      <c r="R151" s="190">
        <v>0</v>
      </c>
      <c r="S151" s="190">
        <v>0</v>
      </c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234">
        <f t="shared" si="19"/>
        <v>0</v>
      </c>
      <c r="AF151" s="234"/>
      <c r="AG151" s="235"/>
    </row>
    <row r="152" spans="1:33" ht="45.75" customHeight="1" x14ac:dyDescent="0.25">
      <c r="A152" s="219" t="s">
        <v>60</v>
      </c>
      <c r="B152" s="219"/>
      <c r="C152" s="219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</row>
    <row r="153" spans="1:33" ht="25.5" x14ac:dyDescent="0.25">
      <c r="A153" s="177" t="s">
        <v>28</v>
      </c>
      <c r="B153" s="178" t="s">
        <v>42</v>
      </c>
      <c r="C153" s="179" t="s">
        <v>38</v>
      </c>
      <c r="D153" s="190">
        <v>13343.89</v>
      </c>
      <c r="E153" s="190">
        <v>752.77</v>
      </c>
      <c r="F153" s="190">
        <v>7.0000000000000007E-2</v>
      </c>
      <c r="G153" s="190">
        <v>6.98</v>
      </c>
      <c r="H153" s="190">
        <v>5.48</v>
      </c>
      <c r="I153" s="190">
        <v>0</v>
      </c>
      <c r="J153" s="190">
        <v>1047.4000000000001</v>
      </c>
      <c r="K153" s="190">
        <v>3228.18</v>
      </c>
      <c r="L153" s="190">
        <v>1.1200000000000001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0.08</v>
      </c>
      <c r="S153" s="190">
        <v>2.13</v>
      </c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229">
        <f t="shared" ref="AE153:AE158" si="20">SUM(D153:S153)</f>
        <v>18388.099999999999</v>
      </c>
    </row>
    <row r="154" spans="1:33" ht="25.5" x14ac:dyDescent="0.25">
      <c r="A154" s="177" t="s">
        <v>30</v>
      </c>
      <c r="B154" s="178" t="s">
        <v>43</v>
      </c>
      <c r="C154" s="179" t="s">
        <v>38</v>
      </c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90">
        <v>0</v>
      </c>
      <c r="J154" s="190">
        <v>0</v>
      </c>
      <c r="K154" s="190">
        <v>0</v>
      </c>
      <c r="L154" s="190">
        <v>0</v>
      </c>
      <c r="M154" s="190">
        <v>0</v>
      </c>
      <c r="N154" s="190">
        <v>0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229">
        <f t="shared" si="20"/>
        <v>0</v>
      </c>
    </row>
    <row r="155" spans="1:33" ht="25.5" x14ac:dyDescent="0.25">
      <c r="A155" s="177" t="s">
        <v>31</v>
      </c>
      <c r="B155" s="178" t="s">
        <v>44</v>
      </c>
      <c r="C155" s="179" t="s">
        <v>38</v>
      </c>
      <c r="D155" s="199">
        <v>677202.07</v>
      </c>
      <c r="E155" s="190">
        <v>762591.13</v>
      </c>
      <c r="F155" s="190">
        <v>16991.77</v>
      </c>
      <c r="G155" s="190">
        <v>21923.75</v>
      </c>
      <c r="H155" s="190">
        <v>43500.3</v>
      </c>
      <c r="I155" s="190">
        <v>0</v>
      </c>
      <c r="J155" s="190">
        <v>646326.5</v>
      </c>
      <c r="K155" s="190">
        <v>621260.48</v>
      </c>
      <c r="L155" s="190">
        <v>49696.63</v>
      </c>
      <c r="M155" s="190">
        <v>3169.54</v>
      </c>
      <c r="N155" s="190">
        <v>2595.5500000000002</v>
      </c>
      <c r="O155" s="190">
        <v>6503.4</v>
      </c>
      <c r="P155" s="190">
        <v>47887.87</v>
      </c>
      <c r="Q155" s="190">
        <v>54197.5</v>
      </c>
      <c r="R155" s="190">
        <v>38139.29</v>
      </c>
      <c r="S155" s="190">
        <v>75083.199999999997</v>
      </c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229">
        <f t="shared" si="20"/>
        <v>3067068.98</v>
      </c>
    </row>
    <row r="156" spans="1:33" ht="25.5" x14ac:dyDescent="0.25">
      <c r="A156" s="177" t="s">
        <v>32</v>
      </c>
      <c r="B156" s="178" t="s">
        <v>48</v>
      </c>
      <c r="C156" s="179" t="s">
        <v>38</v>
      </c>
      <c r="D156" s="190">
        <v>35697.85</v>
      </c>
      <c r="E156" s="190">
        <v>2551.96</v>
      </c>
      <c r="F156" s="190">
        <v>142.86000000000001</v>
      </c>
      <c r="G156" s="190">
        <v>0</v>
      </c>
      <c r="H156" s="190">
        <v>0</v>
      </c>
      <c r="I156" s="190">
        <v>0</v>
      </c>
      <c r="J156" s="190">
        <v>550.23</v>
      </c>
      <c r="K156" s="190">
        <v>7367.84</v>
      </c>
      <c r="L156" s="190">
        <v>468.8</v>
      </c>
      <c r="M156" s="190">
        <v>0</v>
      </c>
      <c r="N156" s="190">
        <v>0</v>
      </c>
      <c r="O156" s="190">
        <v>0</v>
      </c>
      <c r="P156" s="190">
        <v>0.38</v>
      </c>
      <c r="Q156" s="190">
        <v>0</v>
      </c>
      <c r="R156" s="190">
        <v>25.03</v>
      </c>
      <c r="S156" s="190">
        <v>1.51</v>
      </c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229">
        <f t="shared" si="20"/>
        <v>46806.460000000006</v>
      </c>
    </row>
    <row r="157" spans="1:33" ht="25.5" x14ac:dyDescent="0.25">
      <c r="A157" s="177" t="s">
        <v>33</v>
      </c>
      <c r="B157" s="178" t="s">
        <v>49</v>
      </c>
      <c r="C157" s="179" t="s">
        <v>38</v>
      </c>
      <c r="D157" s="190">
        <v>0</v>
      </c>
      <c r="E157" s="190">
        <v>0</v>
      </c>
      <c r="F157" s="190">
        <v>0</v>
      </c>
      <c r="G157" s="190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190">
        <v>0</v>
      </c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229">
        <f t="shared" si="20"/>
        <v>0</v>
      </c>
    </row>
    <row r="158" spans="1:33" ht="48" customHeight="1" x14ac:dyDescent="0.25">
      <c r="A158" s="177" t="s">
        <v>34</v>
      </c>
      <c r="B158" s="178" t="s">
        <v>50</v>
      </c>
      <c r="C158" s="179" t="s">
        <v>38</v>
      </c>
      <c r="D158" s="190">
        <v>820225.82</v>
      </c>
      <c r="E158" s="190">
        <v>644586.56000000006</v>
      </c>
      <c r="F158" s="190">
        <v>33017.71</v>
      </c>
      <c r="G158" s="190">
        <v>56704.87</v>
      </c>
      <c r="H158" s="190">
        <v>97992.61</v>
      </c>
      <c r="I158" s="190">
        <v>0</v>
      </c>
      <c r="J158" s="190">
        <v>534069.53</v>
      </c>
      <c r="K158" s="190">
        <v>730396.36</v>
      </c>
      <c r="L158" s="190">
        <v>33068.65</v>
      </c>
      <c r="M158" s="190">
        <v>2054.58</v>
      </c>
      <c r="N158" s="190">
        <v>1180.3800000000001</v>
      </c>
      <c r="O158" s="190">
        <v>4743.8500000000004</v>
      </c>
      <c r="P158" s="190">
        <v>25565.67</v>
      </c>
      <c r="Q158" s="190">
        <v>114066.18</v>
      </c>
      <c r="R158" s="190">
        <v>15486.6</v>
      </c>
      <c r="S158" s="190">
        <v>201350.58</v>
      </c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229">
        <f t="shared" si="20"/>
        <v>3314509.95</v>
      </c>
    </row>
    <row r="159" spans="1:33" ht="42.75" customHeight="1" x14ac:dyDescent="0.25">
      <c r="A159" s="219" t="s">
        <v>138</v>
      </c>
      <c r="B159" s="219"/>
      <c r="C159" s="219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</row>
    <row r="160" spans="1:33" x14ac:dyDescent="0.25">
      <c r="A160" s="176" t="s">
        <v>73</v>
      </c>
      <c r="B160" s="174" t="s">
        <v>40</v>
      </c>
      <c r="C160" s="179" t="s">
        <v>4</v>
      </c>
      <c r="D160" s="176" t="s">
        <v>74</v>
      </c>
      <c r="E160" s="176" t="s">
        <v>74</v>
      </c>
      <c r="F160" s="176" t="s">
        <v>74</v>
      </c>
      <c r="G160" s="176" t="s">
        <v>74</v>
      </c>
      <c r="H160" s="176" t="s">
        <v>74</v>
      </c>
      <c r="I160" s="176" t="s">
        <v>74</v>
      </c>
      <c r="J160" s="176" t="s">
        <v>74</v>
      </c>
      <c r="K160" s="176" t="s">
        <v>74</v>
      </c>
      <c r="L160" s="176" t="s">
        <v>74</v>
      </c>
      <c r="M160" s="176" t="s">
        <v>74</v>
      </c>
      <c r="N160" s="176" t="s">
        <v>74</v>
      </c>
      <c r="O160" s="176" t="s">
        <v>74</v>
      </c>
      <c r="P160" s="176" t="s">
        <v>74</v>
      </c>
      <c r="Q160" s="176" t="s">
        <v>74</v>
      </c>
      <c r="R160" s="176" t="s">
        <v>74</v>
      </c>
      <c r="S160" s="176" t="s">
        <v>74</v>
      </c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</row>
    <row r="161" spans="1:33" x14ac:dyDescent="0.25">
      <c r="A161" s="177" t="s">
        <v>75</v>
      </c>
      <c r="B161" s="178" t="s">
        <v>2</v>
      </c>
      <c r="C161" s="179" t="s">
        <v>4</v>
      </c>
      <c r="D161" s="177" t="s">
        <v>225</v>
      </c>
      <c r="E161" s="177" t="s">
        <v>225</v>
      </c>
      <c r="F161" s="177" t="s">
        <v>225</v>
      </c>
      <c r="G161" s="177" t="s">
        <v>225</v>
      </c>
      <c r="H161" s="177" t="s">
        <v>225</v>
      </c>
      <c r="I161" s="177" t="s">
        <v>225</v>
      </c>
      <c r="J161" s="177" t="s">
        <v>225</v>
      </c>
      <c r="K161" s="177" t="s">
        <v>225</v>
      </c>
      <c r="L161" s="177" t="s">
        <v>225</v>
      </c>
      <c r="M161" s="177" t="s">
        <v>225</v>
      </c>
      <c r="N161" s="177" t="s">
        <v>225</v>
      </c>
      <c r="O161" s="177" t="s">
        <v>225</v>
      </c>
      <c r="P161" s="177" t="s">
        <v>225</v>
      </c>
      <c r="Q161" s="177" t="s">
        <v>225</v>
      </c>
      <c r="R161" s="177" t="s">
        <v>225</v>
      </c>
      <c r="S161" s="177" t="s">
        <v>225</v>
      </c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</row>
    <row r="162" spans="1:33" s="189" customFormat="1" ht="25.5" x14ac:dyDescent="0.25">
      <c r="A162" s="177" t="s">
        <v>76</v>
      </c>
      <c r="B162" s="178" t="s">
        <v>61</v>
      </c>
      <c r="C162" s="179" t="s">
        <v>224</v>
      </c>
      <c r="D162" s="198">
        <v>84991</v>
      </c>
      <c r="E162" s="198">
        <v>39849</v>
      </c>
      <c r="F162" s="198">
        <v>0</v>
      </c>
      <c r="G162" s="198">
        <v>0</v>
      </c>
      <c r="H162" s="198">
        <v>0</v>
      </c>
      <c r="I162" s="198">
        <v>0</v>
      </c>
      <c r="J162" s="198">
        <v>14532</v>
      </c>
      <c r="K162" s="198">
        <v>20693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234">
        <f t="shared" ref="AE162:AE170" si="21">SUM(D162:S162)</f>
        <v>160065</v>
      </c>
      <c r="AF162" s="234"/>
      <c r="AG162" s="235"/>
    </row>
    <row r="163" spans="1:33" ht="25.5" x14ac:dyDescent="0.25">
      <c r="A163" s="177"/>
      <c r="B163" s="178" t="s">
        <v>44</v>
      </c>
      <c r="C163" s="179"/>
      <c r="D163" s="197">
        <v>0</v>
      </c>
      <c r="E163" s="197">
        <v>0</v>
      </c>
      <c r="F163" s="197">
        <v>0</v>
      </c>
      <c r="G163" s="197">
        <v>0</v>
      </c>
      <c r="H163" s="197">
        <v>0</v>
      </c>
      <c r="I163" s="197">
        <v>0</v>
      </c>
      <c r="J163" s="197">
        <v>0</v>
      </c>
      <c r="K163" s="197">
        <v>0</v>
      </c>
      <c r="L163" s="197">
        <v>0</v>
      </c>
      <c r="M163" s="197">
        <v>0</v>
      </c>
      <c r="N163" s="197">
        <v>0</v>
      </c>
      <c r="O163" s="197">
        <v>0</v>
      </c>
      <c r="P163" s="197">
        <v>0</v>
      </c>
      <c r="Q163" s="197">
        <v>0</v>
      </c>
      <c r="R163" s="197">
        <v>0</v>
      </c>
      <c r="S163" s="197">
        <v>0</v>
      </c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229">
        <f t="shared" si="21"/>
        <v>0</v>
      </c>
    </row>
    <row r="164" spans="1:33" x14ac:dyDescent="0.25">
      <c r="A164" s="177" t="s">
        <v>77</v>
      </c>
      <c r="B164" s="178" t="s">
        <v>62</v>
      </c>
      <c r="C164" s="179" t="s">
        <v>38</v>
      </c>
      <c r="D164" s="197">
        <v>0</v>
      </c>
      <c r="E164" s="197">
        <v>0</v>
      </c>
      <c r="F164" s="197">
        <v>0</v>
      </c>
      <c r="G164" s="197">
        <v>0</v>
      </c>
      <c r="H164" s="197">
        <v>0</v>
      </c>
      <c r="I164" s="197">
        <v>0</v>
      </c>
      <c r="J164" s="197">
        <v>0</v>
      </c>
      <c r="K164" s="197">
        <v>0</v>
      </c>
      <c r="L164" s="197">
        <v>0</v>
      </c>
      <c r="M164" s="197">
        <v>0</v>
      </c>
      <c r="N164" s="197">
        <v>0</v>
      </c>
      <c r="O164" s="197">
        <v>0</v>
      </c>
      <c r="P164" s="197">
        <v>0</v>
      </c>
      <c r="Q164" s="197">
        <v>0</v>
      </c>
      <c r="R164" s="197">
        <v>0</v>
      </c>
      <c r="S164" s="197">
        <v>0</v>
      </c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229">
        <f t="shared" si="21"/>
        <v>0</v>
      </c>
    </row>
    <row r="165" spans="1:33" x14ac:dyDescent="0.25">
      <c r="A165" s="177" t="s">
        <v>78</v>
      </c>
      <c r="B165" s="178" t="s">
        <v>63</v>
      </c>
      <c r="C165" s="179" t="s">
        <v>38</v>
      </c>
      <c r="D165" s="197">
        <v>0</v>
      </c>
      <c r="E165" s="197">
        <v>0</v>
      </c>
      <c r="F165" s="197">
        <v>0</v>
      </c>
      <c r="G165" s="197">
        <v>0</v>
      </c>
      <c r="H165" s="197">
        <v>0</v>
      </c>
      <c r="I165" s="197">
        <v>0</v>
      </c>
      <c r="J165" s="197">
        <v>0</v>
      </c>
      <c r="K165" s="197">
        <v>0</v>
      </c>
      <c r="L165" s="197">
        <v>0</v>
      </c>
      <c r="M165" s="197">
        <v>0</v>
      </c>
      <c r="N165" s="197">
        <v>0</v>
      </c>
      <c r="O165" s="197">
        <v>0</v>
      </c>
      <c r="P165" s="197">
        <v>0</v>
      </c>
      <c r="Q165" s="197">
        <v>0</v>
      </c>
      <c r="R165" s="197">
        <v>0</v>
      </c>
      <c r="S165" s="197">
        <v>0</v>
      </c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229">
        <f t="shared" si="21"/>
        <v>0</v>
      </c>
    </row>
    <row r="166" spans="1:33" x14ac:dyDescent="0.25">
      <c r="A166" s="177" t="s">
        <v>79</v>
      </c>
      <c r="B166" s="178" t="s">
        <v>64</v>
      </c>
      <c r="C166" s="179" t="s">
        <v>38</v>
      </c>
      <c r="D166" s="197">
        <f>D163+D164-D165</f>
        <v>0</v>
      </c>
      <c r="E166" s="197">
        <f t="shared" ref="E166:S166" si="22">E163+E164-E165</f>
        <v>0</v>
      </c>
      <c r="F166" s="197">
        <f t="shared" si="22"/>
        <v>0</v>
      </c>
      <c r="G166" s="197">
        <f t="shared" si="22"/>
        <v>0</v>
      </c>
      <c r="H166" s="197">
        <f t="shared" si="22"/>
        <v>0</v>
      </c>
      <c r="I166" s="197">
        <f t="shared" si="22"/>
        <v>0</v>
      </c>
      <c r="J166" s="197">
        <f t="shared" si="22"/>
        <v>0</v>
      </c>
      <c r="K166" s="197">
        <f t="shared" si="22"/>
        <v>0</v>
      </c>
      <c r="L166" s="197">
        <f t="shared" si="22"/>
        <v>0</v>
      </c>
      <c r="M166" s="197">
        <f t="shared" si="22"/>
        <v>0</v>
      </c>
      <c r="N166" s="197">
        <f t="shared" si="22"/>
        <v>0</v>
      </c>
      <c r="O166" s="197">
        <f t="shared" si="22"/>
        <v>0</v>
      </c>
      <c r="P166" s="197">
        <f t="shared" si="22"/>
        <v>0</v>
      </c>
      <c r="Q166" s="197">
        <f t="shared" si="22"/>
        <v>0</v>
      </c>
      <c r="R166" s="197">
        <f t="shared" si="22"/>
        <v>0</v>
      </c>
      <c r="S166" s="197">
        <f t="shared" si="22"/>
        <v>0</v>
      </c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229">
        <f t="shared" si="21"/>
        <v>0</v>
      </c>
    </row>
    <row r="167" spans="1:33" s="189" customFormat="1" ht="25.5" x14ac:dyDescent="0.25">
      <c r="A167" s="177" t="s">
        <v>80</v>
      </c>
      <c r="B167" s="178" t="s">
        <v>65</v>
      </c>
      <c r="C167" s="179" t="s">
        <v>38</v>
      </c>
      <c r="D167" s="197">
        <v>335718.35</v>
      </c>
      <c r="E167" s="197">
        <v>158175.57</v>
      </c>
      <c r="F167" s="197">
        <v>0</v>
      </c>
      <c r="G167" s="197">
        <v>0</v>
      </c>
      <c r="H167" s="197">
        <v>0</v>
      </c>
      <c r="I167" s="197">
        <v>0</v>
      </c>
      <c r="J167" s="197">
        <v>81763.520000000004</v>
      </c>
      <c r="K167" s="197">
        <v>117491.56</v>
      </c>
      <c r="L167" s="197">
        <v>0</v>
      </c>
      <c r="M167" s="197">
        <v>0</v>
      </c>
      <c r="N167" s="197">
        <v>0</v>
      </c>
      <c r="O167" s="197">
        <v>0</v>
      </c>
      <c r="P167" s="197">
        <v>0</v>
      </c>
      <c r="Q167" s="197">
        <v>0</v>
      </c>
      <c r="R167" s="197">
        <v>0</v>
      </c>
      <c r="S167" s="197">
        <v>0</v>
      </c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234">
        <f t="shared" si="21"/>
        <v>693149</v>
      </c>
      <c r="AF167" s="234"/>
      <c r="AG167" s="235"/>
    </row>
    <row r="168" spans="1:33" ht="25.5" x14ac:dyDescent="0.25">
      <c r="A168" s="177" t="s">
        <v>81</v>
      </c>
      <c r="B168" s="178" t="s">
        <v>66</v>
      </c>
      <c r="C168" s="179" t="s">
        <v>38</v>
      </c>
      <c r="D168" s="197">
        <f>641321.47/$AE$167*D167</f>
        <v>310616.31154048332</v>
      </c>
      <c r="E168" s="197">
        <f>641321.47/$AE$167*E167</f>
        <v>146348.60480284601</v>
      </c>
      <c r="F168" s="197">
        <f t="shared" ref="F168:I168" si="23">641321.47/$AE$167*F167</f>
        <v>0</v>
      </c>
      <c r="G168" s="197">
        <f t="shared" si="23"/>
        <v>0</v>
      </c>
      <c r="H168" s="197">
        <f t="shared" si="23"/>
        <v>0</v>
      </c>
      <c r="I168" s="197">
        <f t="shared" si="23"/>
        <v>0</v>
      </c>
      <c r="J168" s="197">
        <f t="shared" ref="J168:K168" si="24">641321.47/$AE$167*J167</f>
        <v>75649.969687288598</v>
      </c>
      <c r="K168" s="197">
        <f t="shared" si="24"/>
        <v>108706.58396938205</v>
      </c>
      <c r="L168" s="197">
        <f t="shared" ref="L168" si="25">641321.47/$AE$167*L167</f>
        <v>0</v>
      </c>
      <c r="M168" s="197">
        <f t="shared" ref="M168" si="26">641321.47/$AE$167*M167</f>
        <v>0</v>
      </c>
      <c r="N168" s="197">
        <f t="shared" ref="N168" si="27">641321.47/$AE$167*N167</f>
        <v>0</v>
      </c>
      <c r="O168" s="197">
        <f t="shared" ref="O168" si="28">641321.47/$AE$167*O167</f>
        <v>0</v>
      </c>
      <c r="P168" s="197">
        <f t="shared" ref="P168" si="29">641321.47/$AE$167*P167</f>
        <v>0</v>
      </c>
      <c r="Q168" s="197">
        <f t="shared" ref="Q168" si="30">641321.47/$AE$167*Q167</f>
        <v>0</v>
      </c>
      <c r="R168" s="197">
        <f t="shared" ref="R168" si="31">641321.47/$AE$167*R167</f>
        <v>0</v>
      </c>
      <c r="S168" s="197">
        <f t="shared" ref="S168" si="32">641321.47/$AE$167*S167</f>
        <v>0</v>
      </c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234">
        <f t="shared" si="21"/>
        <v>641321.47</v>
      </c>
    </row>
    <row r="169" spans="1:33" s="189" customFormat="1" ht="25.5" x14ac:dyDescent="0.25">
      <c r="A169" s="177" t="s">
        <v>82</v>
      </c>
      <c r="B169" s="178" t="s">
        <v>67</v>
      </c>
      <c r="C169" s="179" t="s">
        <v>38</v>
      </c>
      <c r="D169" s="197">
        <f>56425.79/$AE$167*D167</f>
        <v>27329.150177301704</v>
      </c>
      <c r="E169" s="197">
        <f t="shared" ref="E169:S169" si="33">56425.79/$AE$167*E167</f>
        <v>12876.281284327468</v>
      </c>
      <c r="F169" s="197">
        <f t="shared" si="33"/>
        <v>0</v>
      </c>
      <c r="G169" s="197">
        <f t="shared" si="33"/>
        <v>0</v>
      </c>
      <c r="H169" s="197">
        <f t="shared" si="33"/>
        <v>0</v>
      </c>
      <c r="I169" s="197">
        <f t="shared" si="33"/>
        <v>0</v>
      </c>
      <c r="J169" s="197">
        <f t="shared" si="33"/>
        <v>6655.9588330659071</v>
      </c>
      <c r="K169" s="197">
        <f t="shared" si="33"/>
        <v>9564.3997053049206</v>
      </c>
      <c r="L169" s="197">
        <f t="shared" si="33"/>
        <v>0</v>
      </c>
      <c r="M169" s="197">
        <f t="shared" si="33"/>
        <v>0</v>
      </c>
      <c r="N169" s="197">
        <f t="shared" si="33"/>
        <v>0</v>
      </c>
      <c r="O169" s="197">
        <f t="shared" si="33"/>
        <v>0</v>
      </c>
      <c r="P169" s="197">
        <f t="shared" si="33"/>
        <v>0</v>
      </c>
      <c r="Q169" s="197">
        <f t="shared" si="33"/>
        <v>0</v>
      </c>
      <c r="R169" s="197">
        <f t="shared" si="33"/>
        <v>0</v>
      </c>
      <c r="S169" s="197">
        <f t="shared" si="33"/>
        <v>0</v>
      </c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234">
        <f t="shared" si="21"/>
        <v>56425.790000000008</v>
      </c>
      <c r="AF169" s="234"/>
      <c r="AG169" s="235"/>
    </row>
    <row r="170" spans="1:33" s="189" customFormat="1" ht="38.25" x14ac:dyDescent="0.25">
      <c r="A170" s="177" t="s">
        <v>83</v>
      </c>
      <c r="B170" s="178" t="s">
        <v>68</v>
      </c>
      <c r="C170" s="179" t="s">
        <v>38</v>
      </c>
      <c r="D170" s="197">
        <v>0</v>
      </c>
      <c r="E170" s="197">
        <v>0</v>
      </c>
      <c r="F170" s="197">
        <v>0</v>
      </c>
      <c r="G170" s="197">
        <v>0</v>
      </c>
      <c r="H170" s="197">
        <v>0</v>
      </c>
      <c r="I170" s="197">
        <v>0</v>
      </c>
      <c r="J170" s="197">
        <v>0</v>
      </c>
      <c r="K170" s="197">
        <v>0</v>
      </c>
      <c r="L170" s="197">
        <v>0</v>
      </c>
      <c r="M170" s="197">
        <v>0</v>
      </c>
      <c r="N170" s="197">
        <v>0</v>
      </c>
      <c r="O170" s="197">
        <v>0</v>
      </c>
      <c r="P170" s="197">
        <v>0</v>
      </c>
      <c r="Q170" s="197">
        <v>0</v>
      </c>
      <c r="R170" s="197">
        <v>0</v>
      </c>
      <c r="S170" s="197">
        <v>0</v>
      </c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234">
        <f t="shared" si="21"/>
        <v>0</v>
      </c>
      <c r="AF170" s="234"/>
      <c r="AG170" s="235"/>
    </row>
    <row r="171" spans="1:33" s="189" customFormat="1" x14ac:dyDescent="0.25">
      <c r="A171" s="176" t="s">
        <v>84</v>
      </c>
      <c r="B171" s="174" t="s">
        <v>40</v>
      </c>
      <c r="C171" s="179" t="s">
        <v>4</v>
      </c>
      <c r="D171" s="176" t="s">
        <v>85</v>
      </c>
      <c r="E171" s="176" t="s">
        <v>85</v>
      </c>
      <c r="F171" s="176" t="s">
        <v>85</v>
      </c>
      <c r="G171" s="176" t="s">
        <v>85</v>
      </c>
      <c r="H171" s="176" t="s">
        <v>85</v>
      </c>
      <c r="I171" s="176" t="s">
        <v>85</v>
      </c>
      <c r="J171" s="176" t="s">
        <v>85</v>
      </c>
      <c r="K171" s="176" t="s">
        <v>85</v>
      </c>
      <c r="L171" s="176" t="s">
        <v>85</v>
      </c>
      <c r="M171" s="176" t="s">
        <v>85</v>
      </c>
      <c r="N171" s="176" t="s">
        <v>85</v>
      </c>
      <c r="O171" s="176" t="s">
        <v>85</v>
      </c>
      <c r="P171" s="176" t="s">
        <v>85</v>
      </c>
      <c r="Q171" s="176" t="s">
        <v>85</v>
      </c>
      <c r="R171" s="176" t="s">
        <v>85</v>
      </c>
      <c r="S171" s="176" t="s">
        <v>85</v>
      </c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234"/>
      <c r="AF171" s="234"/>
      <c r="AG171" s="235"/>
    </row>
    <row r="172" spans="1:33" s="189" customFormat="1" x14ac:dyDescent="0.25">
      <c r="A172" s="177" t="s">
        <v>86</v>
      </c>
      <c r="B172" s="178" t="s">
        <v>2</v>
      </c>
      <c r="C172" s="179" t="s">
        <v>4</v>
      </c>
      <c r="D172" s="177" t="s">
        <v>87</v>
      </c>
      <c r="E172" s="177" t="s">
        <v>87</v>
      </c>
      <c r="F172" s="177" t="s">
        <v>87</v>
      </c>
      <c r="G172" s="177" t="s">
        <v>87</v>
      </c>
      <c r="H172" s="177" t="s">
        <v>87</v>
      </c>
      <c r="I172" s="177" t="s">
        <v>87</v>
      </c>
      <c r="J172" s="177" t="s">
        <v>87</v>
      </c>
      <c r="K172" s="177" t="s">
        <v>87</v>
      </c>
      <c r="L172" s="177" t="s">
        <v>87</v>
      </c>
      <c r="M172" s="177" t="s">
        <v>87</v>
      </c>
      <c r="N172" s="177" t="s">
        <v>87</v>
      </c>
      <c r="O172" s="177" t="s">
        <v>87</v>
      </c>
      <c r="P172" s="177" t="s">
        <v>87</v>
      </c>
      <c r="Q172" s="177" t="s">
        <v>87</v>
      </c>
      <c r="R172" s="177" t="s">
        <v>87</v>
      </c>
      <c r="S172" s="177" t="s">
        <v>87</v>
      </c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234"/>
      <c r="AF172" s="234"/>
      <c r="AG172" s="235"/>
    </row>
    <row r="173" spans="1:33" s="189" customFormat="1" ht="25.5" x14ac:dyDescent="0.25">
      <c r="A173" s="177" t="s">
        <v>88</v>
      </c>
      <c r="B173" s="178" t="s">
        <v>61</v>
      </c>
      <c r="C173" s="179" t="s">
        <v>224</v>
      </c>
      <c r="D173" s="197">
        <v>606.75</v>
      </c>
      <c r="E173" s="197">
        <v>399.14</v>
      </c>
      <c r="F173" s="197">
        <v>0</v>
      </c>
      <c r="G173" s="197">
        <v>0</v>
      </c>
      <c r="H173" s="197">
        <v>1.85</v>
      </c>
      <c r="I173" s="197">
        <v>0</v>
      </c>
      <c r="J173" s="197">
        <v>411.18</v>
      </c>
      <c r="K173" s="197">
        <v>595.80999999999995</v>
      </c>
      <c r="L173" s="197">
        <v>141.1</v>
      </c>
      <c r="M173" s="197">
        <v>0</v>
      </c>
      <c r="N173" s="197">
        <v>0</v>
      </c>
      <c r="O173" s="197">
        <v>0</v>
      </c>
      <c r="P173" s="197">
        <v>95.15</v>
      </c>
      <c r="Q173" s="197">
        <v>98.15</v>
      </c>
      <c r="R173" s="197">
        <v>94.52</v>
      </c>
      <c r="S173" s="197">
        <v>93.58</v>
      </c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234">
        <f t="shared" ref="AE173:AE181" si="34">SUM(D173:S173)</f>
        <v>2537.23</v>
      </c>
      <c r="AF173" s="234"/>
      <c r="AG173" s="235"/>
    </row>
    <row r="174" spans="1:33" s="189" customFormat="1" ht="25.5" customHeight="1" x14ac:dyDescent="0.25">
      <c r="A174" s="177"/>
      <c r="B174" s="178" t="s">
        <v>44</v>
      </c>
      <c r="C174" s="179"/>
      <c r="D174" s="197">
        <f>148010.79+100274.68-1972.03</f>
        <v>246313.44</v>
      </c>
      <c r="E174" s="197">
        <f>154503.81+118794.09-184.41</f>
        <v>273113.49000000005</v>
      </c>
      <c r="F174" s="197">
        <v>0</v>
      </c>
      <c r="G174" s="197">
        <v>0</v>
      </c>
      <c r="H174" s="197">
        <v>0</v>
      </c>
      <c r="I174" s="197">
        <v>0</v>
      </c>
      <c r="J174" s="197">
        <f>137587.98+140902.01-1003.41</f>
        <v>277486.58</v>
      </c>
      <c r="K174" s="197">
        <f>135176.28+91970.23-172.97</f>
        <v>226973.54</v>
      </c>
      <c r="L174" s="197">
        <f>28846.2-0.94</f>
        <v>28845.260000000002</v>
      </c>
      <c r="M174" s="197">
        <v>0</v>
      </c>
      <c r="N174" s="197">
        <v>0</v>
      </c>
      <c r="O174" s="197">
        <v>0</v>
      </c>
      <c r="P174" s="197">
        <v>29011.31</v>
      </c>
      <c r="Q174" s="197">
        <v>26496.17</v>
      </c>
      <c r="R174" s="197">
        <f>24530.34-0.06</f>
        <v>24530.28</v>
      </c>
      <c r="S174" s="197">
        <f>39840.26-1.41</f>
        <v>39838.85</v>
      </c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234">
        <f t="shared" si="34"/>
        <v>1172608.9200000002</v>
      </c>
      <c r="AF174" s="234"/>
      <c r="AG174" s="235"/>
    </row>
    <row r="175" spans="1:33" s="189" customFormat="1" x14ac:dyDescent="0.25">
      <c r="A175" s="177" t="s">
        <v>89</v>
      </c>
      <c r="B175" s="178" t="s">
        <v>62</v>
      </c>
      <c r="C175" s="179" t="s">
        <v>38</v>
      </c>
      <c r="D175" s="197">
        <f>1346440.83-11232.55</f>
        <v>1335208.28</v>
      </c>
      <c r="E175" s="197">
        <f>883830.71</f>
        <v>883830.71</v>
      </c>
      <c r="F175" s="197">
        <v>0</v>
      </c>
      <c r="G175" s="197">
        <v>0</v>
      </c>
      <c r="H175" s="197">
        <v>0</v>
      </c>
      <c r="I175" s="197">
        <v>0</v>
      </c>
      <c r="J175" s="197">
        <v>910500.16</v>
      </c>
      <c r="K175" s="197">
        <f>1319526-358.59</f>
        <v>1319167.4099999999</v>
      </c>
      <c r="L175" s="197">
        <v>312505.68</v>
      </c>
      <c r="M175" s="197">
        <v>0</v>
      </c>
      <c r="N175" s="197">
        <v>0</v>
      </c>
      <c r="O175" s="197">
        <v>0</v>
      </c>
      <c r="P175" s="197">
        <v>210745.08</v>
      </c>
      <c r="Q175" s="197">
        <v>217395.36</v>
      </c>
      <c r="R175" s="197">
        <v>209357.88</v>
      </c>
      <c r="S175" s="197">
        <v>207252.84</v>
      </c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234">
        <f t="shared" si="34"/>
        <v>5605963.4000000004</v>
      </c>
      <c r="AF175" s="234"/>
      <c r="AG175" s="235"/>
    </row>
    <row r="176" spans="1:33" s="189" customFormat="1" x14ac:dyDescent="0.25">
      <c r="A176" s="177" t="s">
        <v>90</v>
      </c>
      <c r="B176" s="178" t="s">
        <v>63</v>
      </c>
      <c r="C176" s="179" t="s">
        <v>38</v>
      </c>
      <c r="D176" s="197">
        <f>1271803.36+14159.4</f>
        <v>1285962.76</v>
      </c>
      <c r="E176" s="197">
        <f>922890.71+57764.24</f>
        <v>980654.95</v>
      </c>
      <c r="F176" s="197">
        <v>0</v>
      </c>
      <c r="G176" s="197">
        <v>0</v>
      </c>
      <c r="H176" s="197">
        <v>0</v>
      </c>
      <c r="I176" s="197">
        <v>0</v>
      </c>
      <c r="J176" s="197">
        <f>927384.55+55168.33</f>
        <v>982552.88</v>
      </c>
      <c r="K176" s="197">
        <f>1203868.02+47331.12</f>
        <v>1251199.1400000001</v>
      </c>
      <c r="L176" s="197">
        <v>322206.28999999998</v>
      </c>
      <c r="M176" s="197">
        <v>0</v>
      </c>
      <c r="N176" s="197">
        <v>0</v>
      </c>
      <c r="O176" s="197">
        <v>0</v>
      </c>
      <c r="P176" s="197">
        <v>228310</v>
      </c>
      <c r="Q176" s="197">
        <v>184156.56</v>
      </c>
      <c r="R176" s="197">
        <v>225907.84</v>
      </c>
      <c r="S176" s="197">
        <v>138071.03</v>
      </c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234">
        <f t="shared" si="34"/>
        <v>5599021.4500000002</v>
      </c>
      <c r="AF176" s="234"/>
      <c r="AG176" s="235"/>
    </row>
    <row r="177" spans="1:33" s="189" customFormat="1" x14ac:dyDescent="0.25">
      <c r="A177" s="177" t="s">
        <v>91</v>
      </c>
      <c r="B177" s="178" t="s">
        <v>64</v>
      </c>
      <c r="C177" s="179" t="s">
        <v>38</v>
      </c>
      <c r="D177" s="197">
        <f>D174+D175-D176</f>
        <v>295558.95999999996</v>
      </c>
      <c r="E177" s="197">
        <f>E174+E175-E176</f>
        <v>176289.25</v>
      </c>
      <c r="F177" s="197">
        <f t="shared" ref="F177" si="35">F174+F175-F176</f>
        <v>0</v>
      </c>
      <c r="G177" s="197">
        <f t="shared" ref="G177" si="36">G174+G175-G176</f>
        <v>0</v>
      </c>
      <c r="H177" s="197">
        <f t="shared" ref="H177" si="37">H174+H175-H176</f>
        <v>0</v>
      </c>
      <c r="I177" s="197">
        <f t="shared" ref="I177" si="38">I174+I175-I176</f>
        <v>0</v>
      </c>
      <c r="J177" s="197">
        <f t="shared" ref="J177" si="39">J174+J175-J176</f>
        <v>205433.86</v>
      </c>
      <c r="K177" s="197">
        <f t="shared" ref="K177" si="40">K174+K175-K176</f>
        <v>294941.80999999982</v>
      </c>
      <c r="L177" s="197">
        <f t="shared" ref="L177" si="41">L174+L175-L176</f>
        <v>19144.650000000023</v>
      </c>
      <c r="M177" s="197">
        <f t="shared" ref="M177" si="42">M174+M175-M176</f>
        <v>0</v>
      </c>
      <c r="N177" s="197">
        <f t="shared" ref="N177" si="43">N174+N175-N176</f>
        <v>0</v>
      </c>
      <c r="O177" s="197">
        <f t="shared" ref="O177" si="44">O174+O175-O176</f>
        <v>0</v>
      </c>
      <c r="P177" s="197">
        <f t="shared" ref="P177" si="45">P174+P175-P176</f>
        <v>11446.389999999985</v>
      </c>
      <c r="Q177" s="197">
        <f t="shared" ref="Q177" si="46">Q174+Q175-Q176</f>
        <v>59734.969999999972</v>
      </c>
      <c r="R177" s="197">
        <f t="shared" ref="R177" si="47">R174+R175-R176</f>
        <v>7980.320000000007</v>
      </c>
      <c r="S177" s="197">
        <f t="shared" ref="S177" si="48">S174+S175-S176</f>
        <v>109020.66</v>
      </c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234">
        <f t="shared" si="34"/>
        <v>1179550.8699999996</v>
      </c>
      <c r="AF177" s="234"/>
      <c r="AG177" s="235"/>
    </row>
    <row r="178" spans="1:33" s="189" customFormat="1" ht="25.5" x14ac:dyDescent="0.25">
      <c r="A178" s="177" t="s">
        <v>92</v>
      </c>
      <c r="B178" s="178" t="s">
        <v>65</v>
      </c>
      <c r="C178" s="179" t="s">
        <v>38</v>
      </c>
      <c r="D178" s="197">
        <v>1343753.17</v>
      </c>
      <c r="E178" s="197">
        <v>883830.79</v>
      </c>
      <c r="F178" s="197">
        <v>0</v>
      </c>
      <c r="G178" s="197">
        <v>0</v>
      </c>
      <c r="H178" s="197">
        <v>4103.21</v>
      </c>
      <c r="I178" s="197">
        <v>0</v>
      </c>
      <c r="J178" s="197">
        <v>910500.54</v>
      </c>
      <c r="K178" s="197">
        <v>1319527.75</v>
      </c>
      <c r="L178" s="197">
        <v>312516.03000000003</v>
      </c>
      <c r="M178" s="197">
        <v>0</v>
      </c>
      <c r="N178" s="197">
        <v>0</v>
      </c>
      <c r="O178" s="197">
        <v>0</v>
      </c>
      <c r="P178" s="197">
        <v>210745.02</v>
      </c>
      <c r="Q178" s="197">
        <v>217389.77</v>
      </c>
      <c r="R178" s="197">
        <v>209362.96</v>
      </c>
      <c r="S178" s="197">
        <v>207263.17</v>
      </c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234">
        <f t="shared" si="34"/>
        <v>5618992.4099999992</v>
      </c>
      <c r="AF178" s="234"/>
      <c r="AG178" s="235"/>
    </row>
    <row r="179" spans="1:33" s="189" customFormat="1" ht="25.5" x14ac:dyDescent="0.25">
      <c r="A179" s="177" t="s">
        <v>93</v>
      </c>
      <c r="B179" s="178" t="s">
        <v>66</v>
      </c>
      <c r="C179" s="179" t="s">
        <v>38</v>
      </c>
      <c r="D179" s="197">
        <f>10911167.33*0.58/$AE$178*D178</f>
        <v>1513422.7773571601</v>
      </c>
      <c r="E179" s="197">
        <f t="shared" ref="E179:S179" si="49">10911167.33*0.58/$AE$178*E178</f>
        <v>995428.08811797865</v>
      </c>
      <c r="F179" s="197">
        <f t="shared" si="49"/>
        <v>0</v>
      </c>
      <c r="G179" s="197">
        <f t="shared" si="49"/>
        <v>0</v>
      </c>
      <c r="H179" s="197">
        <f t="shared" si="49"/>
        <v>4621.3036835326484</v>
      </c>
      <c r="I179" s="197">
        <f t="shared" si="49"/>
        <v>0</v>
      </c>
      <c r="J179" s="197">
        <f t="shared" si="49"/>
        <v>1025465.3062749569</v>
      </c>
      <c r="K179" s="197">
        <f t="shared" si="49"/>
        <v>1486138.52364333</v>
      </c>
      <c r="L179" s="197">
        <f t="shared" si="49"/>
        <v>351976.00917379319</v>
      </c>
      <c r="M179" s="197">
        <f t="shared" si="49"/>
        <v>0</v>
      </c>
      <c r="N179" s="197">
        <f t="shared" si="49"/>
        <v>0</v>
      </c>
      <c r="O179" s="197">
        <f t="shared" si="49"/>
        <v>0</v>
      </c>
      <c r="P179" s="197">
        <f t="shared" si="49"/>
        <v>237354.83614344907</v>
      </c>
      <c r="Q179" s="197">
        <f t="shared" si="49"/>
        <v>244838.5885351506</v>
      </c>
      <c r="R179" s="197">
        <f t="shared" si="49"/>
        <v>235798.26970671708</v>
      </c>
      <c r="S179" s="197">
        <f t="shared" si="49"/>
        <v>233433.34876393207</v>
      </c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234">
        <f t="shared" si="34"/>
        <v>6328477.0514000002</v>
      </c>
      <c r="AF179" s="234"/>
      <c r="AG179" s="238"/>
    </row>
    <row r="180" spans="1:33" s="189" customFormat="1" ht="25.5" x14ac:dyDescent="0.25">
      <c r="A180" s="177" t="s">
        <v>94</v>
      </c>
      <c r="B180" s="178" t="s">
        <v>67</v>
      </c>
      <c r="C180" s="179" t="s">
        <v>38</v>
      </c>
      <c r="D180" s="197">
        <f>4064575.58*0.58/$AE$178*D178</f>
        <v>563772.97469799593</v>
      </c>
      <c r="E180" s="197">
        <f t="shared" ref="E180:S180" si="50">4064575.58*0.58/$AE$178*E178</f>
        <v>370812.0841925008</v>
      </c>
      <c r="F180" s="197">
        <f t="shared" si="50"/>
        <v>0</v>
      </c>
      <c r="G180" s="197">
        <f t="shared" si="50"/>
        <v>0</v>
      </c>
      <c r="H180" s="197">
        <f t="shared" si="50"/>
        <v>1721.5058235066817</v>
      </c>
      <c r="I180" s="197">
        <f t="shared" si="50"/>
        <v>0</v>
      </c>
      <c r="J180" s="197">
        <f t="shared" si="50"/>
        <v>382001.40424593881</v>
      </c>
      <c r="K180" s="197">
        <f t="shared" si="50"/>
        <v>553609.17571941693</v>
      </c>
      <c r="L180" s="197">
        <f t="shared" si="50"/>
        <v>131116.41022131185</v>
      </c>
      <c r="M180" s="197">
        <f t="shared" si="50"/>
        <v>0</v>
      </c>
      <c r="N180" s="197">
        <f t="shared" si="50"/>
        <v>0</v>
      </c>
      <c r="O180" s="197">
        <f t="shared" si="50"/>
        <v>0</v>
      </c>
      <c r="P180" s="197">
        <f t="shared" si="50"/>
        <v>88418.282077941927</v>
      </c>
      <c r="Q180" s="197">
        <f t="shared" si="50"/>
        <v>91206.09352818357</v>
      </c>
      <c r="R180" s="197">
        <f t="shared" si="50"/>
        <v>87838.437434739259</v>
      </c>
      <c r="S180" s="197">
        <f t="shared" si="50"/>
        <v>86957.468458464326</v>
      </c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234">
        <f t="shared" si="34"/>
        <v>2357453.8364000004</v>
      </c>
      <c r="AF180" s="234"/>
      <c r="AG180" s="238"/>
    </row>
    <row r="181" spans="1:33" s="189" customFormat="1" ht="38.25" x14ac:dyDescent="0.25">
      <c r="A181" s="177" t="s">
        <v>95</v>
      </c>
      <c r="B181" s="178" t="s">
        <v>68</v>
      </c>
      <c r="C181" s="179" t="s">
        <v>38</v>
      </c>
      <c r="D181" s="197">
        <v>0</v>
      </c>
      <c r="E181" s="197">
        <v>0</v>
      </c>
      <c r="F181" s="197">
        <v>0</v>
      </c>
      <c r="G181" s="197">
        <v>0</v>
      </c>
      <c r="H181" s="197">
        <v>0</v>
      </c>
      <c r="I181" s="197">
        <v>0</v>
      </c>
      <c r="J181" s="197">
        <v>0</v>
      </c>
      <c r="K181" s="197">
        <v>0</v>
      </c>
      <c r="L181" s="197">
        <v>0</v>
      </c>
      <c r="M181" s="197">
        <v>0</v>
      </c>
      <c r="N181" s="197">
        <v>0</v>
      </c>
      <c r="O181" s="197">
        <v>0</v>
      </c>
      <c r="P181" s="197">
        <v>0</v>
      </c>
      <c r="Q181" s="197">
        <v>0</v>
      </c>
      <c r="R181" s="197">
        <v>0</v>
      </c>
      <c r="S181" s="197">
        <v>0</v>
      </c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234">
        <f t="shared" si="34"/>
        <v>0</v>
      </c>
      <c r="AF181" s="234"/>
      <c r="AG181" s="235"/>
    </row>
    <row r="182" spans="1:33" s="189" customFormat="1" ht="30.75" customHeight="1" x14ac:dyDescent="0.25">
      <c r="A182" s="176" t="s">
        <v>96</v>
      </c>
      <c r="B182" s="174" t="s">
        <v>40</v>
      </c>
      <c r="C182" s="179" t="s">
        <v>4</v>
      </c>
      <c r="D182" s="176" t="s">
        <v>290</v>
      </c>
      <c r="E182" s="176" t="s">
        <v>290</v>
      </c>
      <c r="F182" s="176" t="s">
        <v>290</v>
      </c>
      <c r="G182" s="176" t="s">
        <v>290</v>
      </c>
      <c r="H182" s="176" t="s">
        <v>290</v>
      </c>
      <c r="I182" s="176" t="s">
        <v>290</v>
      </c>
      <c r="J182" s="176" t="s">
        <v>290</v>
      </c>
      <c r="K182" s="176" t="s">
        <v>290</v>
      </c>
      <c r="L182" s="176" t="s">
        <v>290</v>
      </c>
      <c r="M182" s="176" t="s">
        <v>290</v>
      </c>
      <c r="N182" s="176" t="s">
        <v>290</v>
      </c>
      <c r="O182" s="176" t="s">
        <v>290</v>
      </c>
      <c r="P182" s="176" t="s">
        <v>290</v>
      </c>
      <c r="Q182" s="176" t="s">
        <v>290</v>
      </c>
      <c r="R182" s="176" t="s">
        <v>290</v>
      </c>
      <c r="S182" s="176" t="s">
        <v>290</v>
      </c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234"/>
      <c r="AF182" s="234"/>
      <c r="AG182" s="235"/>
    </row>
    <row r="183" spans="1:33" s="189" customFormat="1" x14ac:dyDescent="0.25">
      <c r="A183" s="177" t="s">
        <v>97</v>
      </c>
      <c r="B183" s="178" t="s">
        <v>2</v>
      </c>
      <c r="C183" s="179" t="s">
        <v>4</v>
      </c>
      <c r="D183" s="177" t="s">
        <v>200</v>
      </c>
      <c r="E183" s="177" t="s">
        <v>200</v>
      </c>
      <c r="F183" s="177" t="s">
        <v>200</v>
      </c>
      <c r="G183" s="177" t="s">
        <v>200</v>
      </c>
      <c r="H183" s="177" t="s">
        <v>200</v>
      </c>
      <c r="I183" s="177" t="s">
        <v>200</v>
      </c>
      <c r="J183" s="177" t="s">
        <v>200</v>
      </c>
      <c r="K183" s="177" t="s">
        <v>200</v>
      </c>
      <c r="L183" s="177" t="s">
        <v>200</v>
      </c>
      <c r="M183" s="177" t="s">
        <v>200</v>
      </c>
      <c r="N183" s="177" t="s">
        <v>200</v>
      </c>
      <c r="O183" s="177" t="s">
        <v>200</v>
      </c>
      <c r="P183" s="177" t="s">
        <v>200</v>
      </c>
      <c r="Q183" s="177" t="s">
        <v>200</v>
      </c>
      <c r="R183" s="177" t="s">
        <v>200</v>
      </c>
      <c r="S183" s="177" t="s">
        <v>200</v>
      </c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234"/>
      <c r="AF183" s="234"/>
      <c r="AG183" s="235"/>
    </row>
    <row r="184" spans="1:33" s="189" customFormat="1" ht="25.5" x14ac:dyDescent="0.25">
      <c r="A184" s="177" t="s">
        <v>99</v>
      </c>
      <c r="B184" s="178" t="s">
        <v>61</v>
      </c>
      <c r="C184" s="179" t="s">
        <v>224</v>
      </c>
      <c r="D184" s="197">
        <v>412.38</v>
      </c>
      <c r="E184" s="197">
        <v>248.52</v>
      </c>
      <c r="F184" s="197">
        <v>4.21</v>
      </c>
      <c r="G184" s="197">
        <v>3.54</v>
      </c>
      <c r="H184" s="197">
        <v>84.57</v>
      </c>
      <c r="I184" s="197">
        <v>0</v>
      </c>
      <c r="J184" s="197">
        <v>191.18</v>
      </c>
      <c r="K184" s="197">
        <v>423.66</v>
      </c>
      <c r="L184" s="197">
        <v>51.48</v>
      </c>
      <c r="M184" s="197">
        <v>0.32</v>
      </c>
      <c r="N184" s="197">
        <v>0</v>
      </c>
      <c r="O184" s="197">
        <v>11.43</v>
      </c>
      <c r="P184" s="197">
        <v>40.6</v>
      </c>
      <c r="Q184" s="197">
        <v>39.979999999999997</v>
      </c>
      <c r="R184" s="197">
        <v>36.4</v>
      </c>
      <c r="S184" s="197">
        <v>38.49</v>
      </c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234">
        <f t="shared" ref="AE184:AE192" si="51">SUM(D184:S184)</f>
        <v>1586.7600000000002</v>
      </c>
      <c r="AF184" s="234"/>
      <c r="AG184" s="235"/>
    </row>
    <row r="185" spans="1:33" s="189" customFormat="1" ht="25.5" customHeight="1" x14ac:dyDescent="0.25">
      <c r="A185" s="177"/>
      <c r="B185" s="178" t="s">
        <v>44</v>
      </c>
      <c r="C185" s="179"/>
      <c r="D185" s="197">
        <f>213354.7-6372.16</f>
        <v>206982.54</v>
      </c>
      <c r="E185" s="197">
        <f>240219.38-215.46</f>
        <v>240003.92</v>
      </c>
      <c r="F185" s="197">
        <v>0</v>
      </c>
      <c r="G185" s="197">
        <v>0</v>
      </c>
      <c r="H185" s="197">
        <v>0</v>
      </c>
      <c r="I185" s="197">
        <v>0</v>
      </c>
      <c r="J185" s="197">
        <f>175528.59-21.11</f>
        <v>175507.48</v>
      </c>
      <c r="K185" s="197">
        <f>197034.05-1494.9</f>
        <v>195539.15</v>
      </c>
      <c r="L185" s="197">
        <v>7778.08</v>
      </c>
      <c r="M185" s="197">
        <v>0</v>
      </c>
      <c r="N185" s="197">
        <v>0</v>
      </c>
      <c r="O185" s="197">
        <v>2426.9499999999998</v>
      </c>
      <c r="P185" s="197">
        <v>7909.76</v>
      </c>
      <c r="Q185" s="197">
        <v>12620.25</v>
      </c>
      <c r="R185" s="197">
        <f>5158.95-0.01</f>
        <v>5158.9399999999996</v>
      </c>
      <c r="S185" s="197">
        <f>14227.29-0.26</f>
        <v>14227.03</v>
      </c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234">
        <f t="shared" si="51"/>
        <v>868154.1</v>
      </c>
      <c r="AF185" s="234"/>
      <c r="AG185" s="235"/>
    </row>
    <row r="186" spans="1:33" s="189" customFormat="1" x14ac:dyDescent="0.25">
      <c r="A186" s="177" t="s">
        <v>100</v>
      </c>
      <c r="B186" s="178" t="s">
        <v>62</v>
      </c>
      <c r="C186" s="179" t="s">
        <v>38</v>
      </c>
      <c r="D186" s="197">
        <v>1019092.4</v>
      </c>
      <c r="E186" s="197">
        <v>567398.16</v>
      </c>
      <c r="F186" s="197">
        <v>0</v>
      </c>
      <c r="G186" s="197">
        <v>0</v>
      </c>
      <c r="H186" s="197">
        <v>0</v>
      </c>
      <c r="I186" s="197">
        <v>0</v>
      </c>
      <c r="J186" s="197">
        <v>434749.66</v>
      </c>
      <c r="K186" s="197">
        <v>661030.15</v>
      </c>
      <c r="L186" s="197">
        <v>111835.4</v>
      </c>
      <c r="M186" s="197">
        <v>0</v>
      </c>
      <c r="N186" s="197">
        <v>0</v>
      </c>
      <c r="O186" s="197">
        <v>25276.83</v>
      </c>
      <c r="P186" s="197">
        <v>88306.97</v>
      </c>
      <c r="Q186" s="197">
        <f>87005.87</f>
        <v>87005.87</v>
      </c>
      <c r="R186" s="197">
        <v>78948.77</v>
      </c>
      <c r="S186" s="197">
        <v>83867.14</v>
      </c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234">
        <f t="shared" si="51"/>
        <v>3157511.3500000006</v>
      </c>
      <c r="AF186" s="234"/>
      <c r="AG186" s="235"/>
    </row>
    <row r="187" spans="1:33" s="189" customFormat="1" x14ac:dyDescent="0.25">
      <c r="A187" s="177" t="s">
        <v>101</v>
      </c>
      <c r="B187" s="178" t="s">
        <v>63</v>
      </c>
      <c r="C187" s="179" t="s">
        <v>38</v>
      </c>
      <c r="D187" s="197">
        <v>987089.39</v>
      </c>
      <c r="E187" s="197">
        <v>550079.05000000005</v>
      </c>
      <c r="F187" s="197">
        <v>0</v>
      </c>
      <c r="G187" s="197">
        <v>0</v>
      </c>
      <c r="H187" s="197">
        <v>0</v>
      </c>
      <c r="I187" s="197">
        <v>0</v>
      </c>
      <c r="J187" s="197">
        <f>447097.74</f>
        <v>447097.74</v>
      </c>
      <c r="K187" s="197">
        <v>653177.15</v>
      </c>
      <c r="L187" s="197">
        <v>114174.62</v>
      </c>
      <c r="M187" s="197">
        <v>0</v>
      </c>
      <c r="N187" s="197">
        <v>0</v>
      </c>
      <c r="O187" s="197">
        <v>25761.25</v>
      </c>
      <c r="P187" s="197">
        <v>91423.48</v>
      </c>
      <c r="Q187" s="197">
        <v>75687.03</v>
      </c>
      <c r="R187" s="197">
        <v>80712.160000000003</v>
      </c>
      <c r="S187" s="197">
        <v>59071.839999999997</v>
      </c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234">
        <f t="shared" si="51"/>
        <v>3084273.71</v>
      </c>
      <c r="AF187" s="234"/>
      <c r="AG187" s="235"/>
    </row>
    <row r="188" spans="1:33" s="189" customFormat="1" ht="31.5" customHeight="1" x14ac:dyDescent="0.25">
      <c r="A188" s="177" t="s">
        <v>102</v>
      </c>
      <c r="B188" s="178" t="s">
        <v>64</v>
      </c>
      <c r="C188" s="179" t="s">
        <v>38</v>
      </c>
      <c r="D188" s="197">
        <f>D185+D186-D187</f>
        <v>238985.54999999993</v>
      </c>
      <c r="E188" s="197">
        <f t="shared" ref="E188" si="52">E185+E186-E187</f>
        <v>257323.03000000003</v>
      </c>
      <c r="F188" s="197">
        <f t="shared" ref="F188" si="53">F185+F186-F187</f>
        <v>0</v>
      </c>
      <c r="G188" s="197">
        <f t="shared" ref="G188" si="54">G185+G186-G187</f>
        <v>0</v>
      </c>
      <c r="H188" s="197">
        <f t="shared" ref="H188:J188" si="55">H185+H186-H187</f>
        <v>0</v>
      </c>
      <c r="I188" s="197">
        <f t="shared" ref="I188" si="56">I185+I186-I187</f>
        <v>0</v>
      </c>
      <c r="J188" s="197">
        <f t="shared" si="55"/>
        <v>163159.40000000002</v>
      </c>
      <c r="K188" s="197">
        <f t="shared" ref="K188" si="57">K185+K186-K187</f>
        <v>203392.15000000002</v>
      </c>
      <c r="L188" s="197">
        <f t="shared" ref="L188" si="58">L185+L186-L187</f>
        <v>5438.8600000000006</v>
      </c>
      <c r="M188" s="197">
        <f t="shared" ref="M188" si="59">M185+M186-M187</f>
        <v>0</v>
      </c>
      <c r="N188" s="197">
        <f t="shared" ref="N188" si="60">N185+N186-N187</f>
        <v>0</v>
      </c>
      <c r="O188" s="197">
        <f t="shared" ref="O188" si="61">O185+O186-O187</f>
        <v>1942.5300000000025</v>
      </c>
      <c r="P188" s="197">
        <f t="shared" ref="P188" si="62">P185+P186-P187</f>
        <v>4793.25</v>
      </c>
      <c r="Q188" s="197">
        <f t="shared" ref="Q188" si="63">Q185+Q186-Q187</f>
        <v>23939.089999999997</v>
      </c>
      <c r="R188" s="197">
        <f t="shared" ref="R188" si="64">R185+R186-R187</f>
        <v>3395.5500000000029</v>
      </c>
      <c r="S188" s="197">
        <f t="shared" ref="S188" si="65">S185+S186-S187</f>
        <v>39022.33</v>
      </c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234">
        <f t="shared" si="51"/>
        <v>941391.74</v>
      </c>
      <c r="AF188" s="234"/>
      <c r="AG188" s="235"/>
    </row>
    <row r="189" spans="1:33" s="189" customFormat="1" ht="25.5" x14ac:dyDescent="0.25">
      <c r="A189" s="177" t="s">
        <v>103</v>
      </c>
      <c r="B189" s="178" t="s">
        <v>65</v>
      </c>
      <c r="C189" s="179" t="s">
        <v>38</v>
      </c>
      <c r="D189" s="197">
        <v>913358.09</v>
      </c>
      <c r="E189" s="197">
        <v>550366.52</v>
      </c>
      <c r="F189" s="197">
        <v>9329.2900000000009</v>
      </c>
      <c r="G189" s="197">
        <v>7845.53</v>
      </c>
      <c r="H189" s="197">
        <v>187294.4</v>
      </c>
      <c r="I189" s="197">
        <v>0</v>
      </c>
      <c r="J189" s="197">
        <v>187294.4</v>
      </c>
      <c r="K189" s="197">
        <v>938318</v>
      </c>
      <c r="L189" s="197">
        <v>114024.19</v>
      </c>
      <c r="M189" s="197">
        <v>713.04</v>
      </c>
      <c r="N189" s="197">
        <v>0</v>
      </c>
      <c r="O189" s="197">
        <v>25322.89</v>
      </c>
      <c r="P189" s="197">
        <v>89922.55</v>
      </c>
      <c r="Q189" s="197">
        <v>88541.8</v>
      </c>
      <c r="R189" s="197">
        <v>80630.36</v>
      </c>
      <c r="S189" s="197">
        <v>85253.54</v>
      </c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234">
        <f t="shared" si="51"/>
        <v>3278214.5999999992</v>
      </c>
      <c r="AF189" s="234"/>
      <c r="AG189" s="235"/>
    </row>
    <row r="190" spans="1:33" s="189" customFormat="1" ht="25.5" x14ac:dyDescent="0.25">
      <c r="A190" s="177" t="s">
        <v>104</v>
      </c>
      <c r="B190" s="178" t="s">
        <v>66</v>
      </c>
      <c r="C190" s="179" t="s">
        <v>38</v>
      </c>
      <c r="D190" s="197">
        <f>10911167.33*0.36/$AE$189*D189</f>
        <v>1094403.3568734983</v>
      </c>
      <c r="E190" s="197">
        <f t="shared" ref="E190:S190" si="66">10911167.33*0.36/$AE$189*E189</f>
        <v>659459.825881419</v>
      </c>
      <c r="F190" s="197">
        <f t="shared" si="66"/>
        <v>11178.536003602225</v>
      </c>
      <c r="G190" s="197">
        <f t="shared" si="66"/>
        <v>9400.6660284267455</v>
      </c>
      <c r="H190" s="197">
        <f t="shared" si="66"/>
        <v>224419.77831893705</v>
      </c>
      <c r="I190" s="197">
        <f t="shared" si="66"/>
        <v>0</v>
      </c>
      <c r="J190" s="197">
        <f t="shared" si="66"/>
        <v>224419.77831893705</v>
      </c>
      <c r="K190" s="197">
        <f t="shared" si="66"/>
        <v>1124310.8045551195</v>
      </c>
      <c r="L190" s="197">
        <f t="shared" si="66"/>
        <v>136625.99331745296</v>
      </c>
      <c r="M190" s="197">
        <f t="shared" si="66"/>
        <v>854.3783409035982</v>
      </c>
      <c r="N190" s="197">
        <f t="shared" si="66"/>
        <v>0</v>
      </c>
      <c r="O190" s="197">
        <f t="shared" si="66"/>
        <v>30342.377349215076</v>
      </c>
      <c r="P190" s="197">
        <f t="shared" si="66"/>
        <v>107746.94137610913</v>
      </c>
      <c r="Q190" s="197">
        <f t="shared" si="66"/>
        <v>106092.49997842788</v>
      </c>
      <c r="R190" s="197">
        <f t="shared" si="66"/>
        <v>96612.859311202526</v>
      </c>
      <c r="S190" s="197">
        <f t="shared" si="66"/>
        <v>102152.44314674989</v>
      </c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234">
        <f t="shared" si="51"/>
        <v>3928020.2388000009</v>
      </c>
      <c r="AF190" s="234"/>
      <c r="AG190" s="235"/>
    </row>
    <row r="191" spans="1:33" s="189" customFormat="1" ht="25.5" x14ac:dyDescent="0.25">
      <c r="A191" s="177" t="s">
        <v>105</v>
      </c>
      <c r="B191" s="178" t="s">
        <v>67</v>
      </c>
      <c r="C191" s="179" t="s">
        <v>38</v>
      </c>
      <c r="D191" s="197">
        <f>4064575.58*0.36/$AE$189*D189</f>
        <v>407681.87531938864</v>
      </c>
      <c r="E191" s="197">
        <f t="shared" ref="E191:S191" si="67">4064575.58*0.36/$AE$189*E189</f>
        <v>245658.80287610504</v>
      </c>
      <c r="F191" s="197">
        <f t="shared" si="67"/>
        <v>4164.1744724661276</v>
      </c>
      <c r="G191" s="197">
        <f t="shared" si="67"/>
        <v>3501.8908994111202</v>
      </c>
      <c r="H191" s="197">
        <f t="shared" si="67"/>
        <v>83599.776544180713</v>
      </c>
      <c r="I191" s="197">
        <f t="shared" si="67"/>
        <v>0</v>
      </c>
      <c r="J191" s="197">
        <f t="shared" si="67"/>
        <v>83599.776544180713</v>
      </c>
      <c r="K191" s="197">
        <f t="shared" si="67"/>
        <v>418822.85389943619</v>
      </c>
      <c r="L191" s="197">
        <f t="shared" si="67"/>
        <v>50895.257971574196</v>
      </c>
      <c r="M191" s="197">
        <f t="shared" si="67"/>
        <v>318.26891069387347</v>
      </c>
      <c r="N191" s="197">
        <f t="shared" si="67"/>
        <v>0</v>
      </c>
      <c r="O191" s="197">
        <f t="shared" si="67"/>
        <v>11302.996488164454</v>
      </c>
      <c r="P191" s="197">
        <f t="shared" si="67"/>
        <v>40137.372426954134</v>
      </c>
      <c r="Q191" s="197">
        <f t="shared" si="67"/>
        <v>39521.067873996981</v>
      </c>
      <c r="R191" s="197">
        <f t="shared" si="67"/>
        <v>35989.75772194389</v>
      </c>
      <c r="S191" s="197">
        <f t="shared" si="67"/>
        <v>38053.336851504224</v>
      </c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234">
        <f t="shared" si="51"/>
        <v>1463247.2087999999</v>
      </c>
      <c r="AF191" s="234"/>
      <c r="AG191" s="235"/>
    </row>
    <row r="192" spans="1:33" s="189" customFormat="1" ht="38.25" x14ac:dyDescent="0.25">
      <c r="A192" s="177" t="s">
        <v>106</v>
      </c>
      <c r="B192" s="178" t="s">
        <v>68</v>
      </c>
      <c r="C192" s="179" t="s">
        <v>38</v>
      </c>
      <c r="D192" s="197">
        <v>0</v>
      </c>
      <c r="E192" s="197">
        <v>0</v>
      </c>
      <c r="F192" s="197">
        <v>0</v>
      </c>
      <c r="G192" s="197">
        <v>0</v>
      </c>
      <c r="H192" s="197">
        <v>0</v>
      </c>
      <c r="I192" s="197">
        <v>0</v>
      </c>
      <c r="J192" s="197">
        <v>0</v>
      </c>
      <c r="K192" s="197">
        <v>0</v>
      </c>
      <c r="L192" s="197">
        <v>0</v>
      </c>
      <c r="M192" s="197">
        <v>0</v>
      </c>
      <c r="N192" s="197">
        <v>0</v>
      </c>
      <c r="O192" s="197">
        <v>0</v>
      </c>
      <c r="P192" s="197">
        <v>0</v>
      </c>
      <c r="Q192" s="197">
        <v>0</v>
      </c>
      <c r="R192" s="197">
        <v>0</v>
      </c>
      <c r="S192" s="197">
        <v>0</v>
      </c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234">
        <f t="shared" si="51"/>
        <v>0</v>
      </c>
      <c r="AF192" s="234"/>
      <c r="AG192" s="235"/>
    </row>
    <row r="193" spans="1:33" s="189" customFormat="1" ht="25.5" x14ac:dyDescent="0.25">
      <c r="A193" s="176" t="s">
        <v>107</v>
      </c>
      <c r="B193" s="174" t="s">
        <v>40</v>
      </c>
      <c r="C193" s="179" t="s">
        <v>4</v>
      </c>
      <c r="D193" s="176" t="s">
        <v>291</v>
      </c>
      <c r="E193" s="176" t="s">
        <v>291</v>
      </c>
      <c r="F193" s="176" t="s">
        <v>291</v>
      </c>
      <c r="G193" s="176" t="s">
        <v>291</v>
      </c>
      <c r="H193" s="176" t="s">
        <v>291</v>
      </c>
      <c r="I193" s="176" t="s">
        <v>291</v>
      </c>
      <c r="J193" s="176" t="s">
        <v>291</v>
      </c>
      <c r="K193" s="176" t="s">
        <v>291</v>
      </c>
      <c r="L193" s="176" t="s">
        <v>291</v>
      </c>
      <c r="M193" s="176" t="s">
        <v>291</v>
      </c>
      <c r="N193" s="176" t="s">
        <v>291</v>
      </c>
      <c r="O193" s="176" t="s">
        <v>291</v>
      </c>
      <c r="P193" s="176" t="s">
        <v>291</v>
      </c>
      <c r="Q193" s="176" t="s">
        <v>291</v>
      </c>
      <c r="R193" s="176" t="s">
        <v>291</v>
      </c>
      <c r="S193" s="176" t="s">
        <v>291</v>
      </c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234"/>
      <c r="AF193" s="234"/>
      <c r="AG193" s="235"/>
    </row>
    <row r="194" spans="1:33" s="189" customFormat="1" x14ac:dyDescent="0.25">
      <c r="A194" s="177" t="s">
        <v>108</v>
      </c>
      <c r="B194" s="178" t="s">
        <v>2</v>
      </c>
      <c r="C194" s="179" t="s">
        <v>4</v>
      </c>
      <c r="D194" s="177" t="s">
        <v>98</v>
      </c>
      <c r="E194" s="177" t="s">
        <v>98</v>
      </c>
      <c r="F194" s="177" t="s">
        <v>98</v>
      </c>
      <c r="G194" s="177" t="s">
        <v>98</v>
      </c>
      <c r="H194" s="177" t="s">
        <v>98</v>
      </c>
      <c r="I194" s="177" t="s">
        <v>98</v>
      </c>
      <c r="J194" s="177" t="s">
        <v>98</v>
      </c>
      <c r="K194" s="177" t="s">
        <v>98</v>
      </c>
      <c r="L194" s="177" t="s">
        <v>98</v>
      </c>
      <c r="M194" s="177" t="s">
        <v>98</v>
      </c>
      <c r="N194" s="177" t="s">
        <v>98</v>
      </c>
      <c r="O194" s="177" t="s">
        <v>98</v>
      </c>
      <c r="P194" s="177" t="s">
        <v>98</v>
      </c>
      <c r="Q194" s="177" t="s">
        <v>98</v>
      </c>
      <c r="R194" s="177" t="s">
        <v>98</v>
      </c>
      <c r="S194" s="177" t="s">
        <v>98</v>
      </c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234"/>
      <c r="AF194" s="234"/>
      <c r="AG194" s="235"/>
    </row>
    <row r="195" spans="1:33" s="189" customFormat="1" ht="25.5" x14ac:dyDescent="0.25">
      <c r="A195" s="177" t="s">
        <v>109</v>
      </c>
      <c r="B195" s="178" t="s">
        <v>61</v>
      </c>
      <c r="C195" s="179" t="s">
        <v>224</v>
      </c>
      <c r="D195" s="197">
        <v>6020.12</v>
      </c>
      <c r="E195" s="197">
        <v>3628.07</v>
      </c>
      <c r="F195" s="197">
        <v>61.51</v>
      </c>
      <c r="G195" s="197">
        <v>51.77</v>
      </c>
      <c r="H195" s="197">
        <v>1261.5899999999999</v>
      </c>
      <c r="I195" s="197">
        <v>0</v>
      </c>
      <c r="J195" s="197">
        <v>2790.92</v>
      </c>
      <c r="K195" s="197">
        <v>6184.73</v>
      </c>
      <c r="L195" s="197">
        <v>691.62</v>
      </c>
      <c r="M195" s="197">
        <v>64.67</v>
      </c>
      <c r="N195" s="197">
        <v>0</v>
      </c>
      <c r="O195" s="197">
        <v>166.85</v>
      </c>
      <c r="P195" s="197">
        <v>592.65</v>
      </c>
      <c r="Q195" s="197">
        <v>583.71</v>
      </c>
      <c r="R195" s="197">
        <v>531.38</v>
      </c>
      <c r="S195" s="197">
        <v>561.91</v>
      </c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234">
        <f t="shared" ref="AE195:AE203" si="68">SUM(D195:S195)</f>
        <v>23191.499999999996</v>
      </c>
      <c r="AF195" s="234"/>
      <c r="AG195" s="235"/>
    </row>
    <row r="196" spans="1:33" s="189" customFormat="1" ht="25.5" x14ac:dyDescent="0.25">
      <c r="A196" s="177"/>
      <c r="B196" s="178" t="s">
        <v>44</v>
      </c>
      <c r="C196" s="179"/>
      <c r="D196" s="197">
        <f>31904.17-933.33</f>
        <v>30970.839999999997</v>
      </c>
      <c r="E196" s="197">
        <f>35997.06-110.37</f>
        <v>35886.689999999995</v>
      </c>
      <c r="F196" s="197">
        <v>0</v>
      </c>
      <c r="G196" s="197">
        <v>0</v>
      </c>
      <c r="H196" s="197">
        <v>0</v>
      </c>
      <c r="I196" s="197">
        <v>0</v>
      </c>
      <c r="J196" s="197">
        <f>26937.39-3.3</f>
        <v>26934.09</v>
      </c>
      <c r="K196" s="197">
        <f>30099.56-400.03</f>
        <v>29699.530000000002</v>
      </c>
      <c r="L196" s="197">
        <v>1220.94</v>
      </c>
      <c r="M196" s="197">
        <v>0</v>
      </c>
      <c r="N196" s="197">
        <v>0</v>
      </c>
      <c r="O196" s="197">
        <v>380.95</v>
      </c>
      <c r="P196" s="197">
        <v>1214.48</v>
      </c>
      <c r="Q196" s="197">
        <v>1968.34</v>
      </c>
      <c r="R196" s="197">
        <v>811.33</v>
      </c>
      <c r="S196" s="197">
        <f>2218.89-0.04</f>
        <v>2218.85</v>
      </c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234">
        <f t="shared" si="68"/>
        <v>131306.03999999998</v>
      </c>
      <c r="AF196" s="234"/>
      <c r="AG196" s="235"/>
    </row>
    <row r="197" spans="1:33" s="189" customFormat="1" x14ac:dyDescent="0.25">
      <c r="A197" s="177" t="s">
        <v>110</v>
      </c>
      <c r="B197" s="178" t="s">
        <v>62</v>
      </c>
      <c r="C197" s="179" t="s">
        <v>38</v>
      </c>
      <c r="D197" s="197">
        <v>156901.9</v>
      </c>
      <c r="E197" s="197">
        <v>86903.88</v>
      </c>
      <c r="F197" s="197">
        <v>0</v>
      </c>
      <c r="G197" s="197">
        <v>0</v>
      </c>
      <c r="H197" s="197">
        <v>0</v>
      </c>
      <c r="I197" s="197">
        <v>0</v>
      </c>
      <c r="J197" s="197">
        <v>68594.3</v>
      </c>
      <c r="K197" s="197">
        <v>104580.44</v>
      </c>
      <c r="L197" s="197">
        <v>17768.240000000002</v>
      </c>
      <c r="M197" s="197">
        <v>0</v>
      </c>
      <c r="N197" s="197">
        <v>0</v>
      </c>
      <c r="O197" s="197">
        <v>4013.08</v>
      </c>
      <c r="P197" s="197">
        <v>14032.75</v>
      </c>
      <c r="Q197" s="197">
        <v>13819.48</v>
      </c>
      <c r="R197" s="197">
        <v>12544.36</v>
      </c>
      <c r="S197" s="197">
        <v>13334.51</v>
      </c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234">
        <f t="shared" si="68"/>
        <v>492492.94</v>
      </c>
      <c r="AF197" s="234"/>
      <c r="AG197" s="235"/>
    </row>
    <row r="198" spans="1:33" s="189" customFormat="1" x14ac:dyDescent="0.25">
      <c r="A198" s="177" t="s">
        <v>111</v>
      </c>
      <c r="B198" s="178" t="s">
        <v>63</v>
      </c>
      <c r="C198" s="179" t="s">
        <v>38</v>
      </c>
      <c r="D198" s="197">
        <v>151042.26</v>
      </c>
      <c r="E198" s="197">
        <v>94880.56</v>
      </c>
      <c r="F198" s="197">
        <v>0</v>
      </c>
      <c r="G198" s="197">
        <v>0</v>
      </c>
      <c r="H198" s="197">
        <v>0</v>
      </c>
      <c r="I198" s="197">
        <v>0</v>
      </c>
      <c r="J198" s="197">
        <v>70259.33</v>
      </c>
      <c r="K198" s="197">
        <v>101767.78</v>
      </c>
      <c r="L198" s="197">
        <v>18113.830000000002</v>
      </c>
      <c r="M198" s="197">
        <v>0</v>
      </c>
      <c r="N198" s="197">
        <v>0</v>
      </c>
      <c r="O198" s="197">
        <v>4079.04</v>
      </c>
      <c r="P198" s="197">
        <v>14471.37</v>
      </c>
      <c r="Q198" s="197">
        <v>11967.76</v>
      </c>
      <c r="R198" s="197">
        <v>12805.09</v>
      </c>
      <c r="S198" s="197">
        <v>9519.9599999999991</v>
      </c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234">
        <f t="shared" si="68"/>
        <v>488906.9800000001</v>
      </c>
      <c r="AF198" s="234"/>
      <c r="AG198" s="235"/>
    </row>
    <row r="199" spans="1:33" s="189" customFormat="1" x14ac:dyDescent="0.25">
      <c r="A199" s="177" t="s">
        <v>112</v>
      </c>
      <c r="B199" s="178" t="s">
        <v>64</v>
      </c>
      <c r="C199" s="179" t="s">
        <v>38</v>
      </c>
      <c r="D199" s="197">
        <f>D196+D197-D198</f>
        <v>36830.479999999981</v>
      </c>
      <c r="E199" s="197">
        <f t="shared" ref="E199" si="69">E196+E197-E198</f>
        <v>27910.010000000009</v>
      </c>
      <c r="F199" s="197">
        <f t="shared" ref="F199" si="70">F196+F197-F198</f>
        <v>0</v>
      </c>
      <c r="G199" s="197">
        <f t="shared" ref="G199" si="71">G196+G197-G198</f>
        <v>0</v>
      </c>
      <c r="H199" s="197">
        <f t="shared" ref="H199" si="72">H196+H197-H198</f>
        <v>0</v>
      </c>
      <c r="I199" s="197">
        <f t="shared" ref="I199" si="73">I196+I197-I198</f>
        <v>0</v>
      </c>
      <c r="J199" s="197">
        <f t="shared" ref="J199" si="74">J196+J197-J198</f>
        <v>25269.059999999998</v>
      </c>
      <c r="K199" s="197">
        <f t="shared" ref="K199" si="75">K196+K197-K198</f>
        <v>32512.190000000002</v>
      </c>
      <c r="L199" s="197">
        <f t="shared" ref="L199" si="76">L196+L197-L198</f>
        <v>875.34999999999854</v>
      </c>
      <c r="M199" s="197">
        <f t="shared" ref="M199" si="77">M196+M197-M198</f>
        <v>0</v>
      </c>
      <c r="N199" s="197">
        <f t="shared" ref="N199" si="78">N196+N197-N198</f>
        <v>0</v>
      </c>
      <c r="O199" s="197">
        <f t="shared" ref="O199" si="79">O196+O197-O198</f>
        <v>314.98999999999978</v>
      </c>
      <c r="P199" s="197">
        <f t="shared" ref="P199" si="80">P196+P197-P198</f>
        <v>775.85999999999876</v>
      </c>
      <c r="Q199" s="197">
        <f t="shared" ref="Q199" si="81">Q196+Q197-Q198</f>
        <v>3820.0599999999995</v>
      </c>
      <c r="R199" s="197">
        <f t="shared" ref="R199" si="82">R196+R197-R198</f>
        <v>550.60000000000036</v>
      </c>
      <c r="S199" s="197">
        <f t="shared" ref="S199" si="83">S196+S197-S198</f>
        <v>6033.4000000000015</v>
      </c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234">
        <f t="shared" si="68"/>
        <v>134892</v>
      </c>
      <c r="AF199" s="234"/>
      <c r="AG199" s="235"/>
    </row>
    <row r="200" spans="1:33" s="189" customFormat="1" ht="25.5" x14ac:dyDescent="0.25">
      <c r="A200" s="177" t="s">
        <v>113</v>
      </c>
      <c r="B200" s="178" t="s">
        <v>65</v>
      </c>
      <c r="C200" s="179" t="s">
        <v>38</v>
      </c>
      <c r="D200" s="197">
        <v>140663.21</v>
      </c>
      <c r="E200" s="197">
        <v>84207.18</v>
      </c>
      <c r="F200" s="197">
        <v>1482.19</v>
      </c>
      <c r="G200" s="197">
        <v>1248.77</v>
      </c>
      <c r="H200" s="197">
        <v>30298.43</v>
      </c>
      <c r="I200" s="197">
        <v>0</v>
      </c>
      <c r="J200" s="197">
        <v>66857.440000000002</v>
      </c>
      <c r="K200" s="197">
        <v>148702.93</v>
      </c>
      <c r="L200" s="197">
        <v>16649.87</v>
      </c>
      <c r="M200" s="197">
        <v>1574.12</v>
      </c>
      <c r="N200" s="197">
        <v>0</v>
      </c>
      <c r="O200" s="197">
        <v>4035.2</v>
      </c>
      <c r="P200" s="197">
        <v>14273.11</v>
      </c>
      <c r="Q200" s="197">
        <v>14050.95</v>
      </c>
      <c r="R200" s="197">
        <v>12792.75</v>
      </c>
      <c r="S200" s="197">
        <v>13533.4</v>
      </c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234">
        <f t="shared" si="68"/>
        <v>550369.54999999993</v>
      </c>
      <c r="AF200" s="234"/>
      <c r="AG200" s="235"/>
    </row>
    <row r="201" spans="1:33" s="189" customFormat="1" ht="25.5" x14ac:dyDescent="0.25">
      <c r="A201" s="177" t="s">
        <v>114</v>
      </c>
      <c r="B201" s="178" t="s">
        <v>66</v>
      </c>
      <c r="C201" s="179" t="s">
        <v>38</v>
      </c>
      <c r="D201" s="197">
        <f>10911167.33*0.06/$AE$200*D200</f>
        <v>167320.28377859163</v>
      </c>
      <c r="E201" s="197">
        <f t="shared" ref="E201:S201" si="84">10911167.33*0.06/$AE$200*E200</f>
        <v>100165.27600781288</v>
      </c>
      <c r="F201" s="197">
        <f t="shared" si="84"/>
        <v>1763.0797094264431</v>
      </c>
      <c r="G201" s="197">
        <f t="shared" si="84"/>
        <v>1485.4243037265528</v>
      </c>
      <c r="H201" s="197">
        <f t="shared" si="84"/>
        <v>36040.28306794502</v>
      </c>
      <c r="I201" s="197">
        <f t="shared" si="84"/>
        <v>0</v>
      </c>
      <c r="J201" s="197">
        <f t="shared" si="84"/>
        <v>79527.588155496836</v>
      </c>
      <c r="K201" s="197">
        <f t="shared" si="84"/>
        <v>176883.61047858957</v>
      </c>
      <c r="L201" s="197">
        <f t="shared" si="84"/>
        <v>19805.185544085474</v>
      </c>
      <c r="M201" s="197">
        <f t="shared" si="84"/>
        <v>1872.4313564403701</v>
      </c>
      <c r="N201" s="197">
        <f t="shared" si="84"/>
        <v>0</v>
      </c>
      <c r="O201" s="197">
        <f t="shared" si="84"/>
        <v>4799.9104321831765</v>
      </c>
      <c r="P201" s="197">
        <f t="shared" si="84"/>
        <v>16978.005944859742</v>
      </c>
      <c r="Q201" s="197">
        <f t="shared" si="84"/>
        <v>16713.744420867421</v>
      </c>
      <c r="R201" s="197">
        <f t="shared" si="84"/>
        <v>15217.103038588257</v>
      </c>
      <c r="S201" s="197">
        <f t="shared" si="84"/>
        <v>16098.113561386748</v>
      </c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234">
        <f t="shared" si="68"/>
        <v>654670.03980000003</v>
      </c>
      <c r="AF201" s="234"/>
      <c r="AG201" s="235"/>
    </row>
    <row r="202" spans="1:33" s="189" customFormat="1" ht="25.5" x14ac:dyDescent="0.25">
      <c r="A202" s="177" t="s">
        <v>115</v>
      </c>
      <c r="B202" s="178" t="s">
        <v>67</v>
      </c>
      <c r="C202" s="179" t="s">
        <v>38</v>
      </c>
      <c r="D202" s="197">
        <f>4064575.58*0.06/$AE$200*D200</f>
        <v>62329.347439778794</v>
      </c>
      <c r="E202" s="197">
        <f t="shared" ref="E202:S202" si="85">4064575.58*0.06/$AE$200*E200</f>
        <v>37313.086905552576</v>
      </c>
      <c r="F202" s="197">
        <f t="shared" si="85"/>
        <v>656.77397438723131</v>
      </c>
      <c r="G202" s="197">
        <f t="shared" si="85"/>
        <v>553.34311795083147</v>
      </c>
      <c r="H202" s="197">
        <f t="shared" si="85"/>
        <v>13425.55292424947</v>
      </c>
      <c r="I202" s="197">
        <f t="shared" si="85"/>
        <v>0</v>
      </c>
      <c r="J202" s="197">
        <f t="shared" si="85"/>
        <v>29625.234677170847</v>
      </c>
      <c r="K202" s="197">
        <f t="shared" si="85"/>
        <v>65891.831910299123</v>
      </c>
      <c r="L202" s="197">
        <f t="shared" si="85"/>
        <v>7377.7324721734258</v>
      </c>
      <c r="M202" s="197">
        <f t="shared" si="85"/>
        <v>697.50912404106657</v>
      </c>
      <c r="N202" s="197">
        <f t="shared" si="85"/>
        <v>0</v>
      </c>
      <c r="O202" s="197">
        <f t="shared" si="85"/>
        <v>1788.039550561909</v>
      </c>
      <c r="P202" s="197">
        <f t="shared" si="85"/>
        <v>6324.5651242864515</v>
      </c>
      <c r="Q202" s="197">
        <f t="shared" si="85"/>
        <v>6226.123692250163</v>
      </c>
      <c r="R202" s="197">
        <f t="shared" si="85"/>
        <v>5668.6020421418671</v>
      </c>
      <c r="S202" s="197">
        <f t="shared" si="85"/>
        <v>5996.7918451562591</v>
      </c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234">
        <f t="shared" si="68"/>
        <v>243874.53480000002</v>
      </c>
      <c r="AF202" s="234"/>
      <c r="AG202" s="235"/>
    </row>
    <row r="203" spans="1:33" s="189" customFormat="1" ht="38.25" x14ac:dyDescent="0.25">
      <c r="A203" s="177" t="s">
        <v>116</v>
      </c>
      <c r="B203" s="178" t="s">
        <v>68</v>
      </c>
      <c r="C203" s="179" t="s">
        <v>38</v>
      </c>
      <c r="D203" s="197">
        <v>0</v>
      </c>
      <c r="E203" s="197">
        <v>0</v>
      </c>
      <c r="F203" s="197">
        <v>0</v>
      </c>
      <c r="G203" s="197">
        <v>0</v>
      </c>
      <c r="H203" s="197">
        <v>0</v>
      </c>
      <c r="I203" s="197">
        <v>0</v>
      </c>
      <c r="J203" s="197">
        <v>0</v>
      </c>
      <c r="K203" s="197">
        <v>0</v>
      </c>
      <c r="L203" s="197">
        <v>0</v>
      </c>
      <c r="M203" s="197">
        <v>0</v>
      </c>
      <c r="N203" s="197">
        <v>0</v>
      </c>
      <c r="O203" s="197">
        <v>0</v>
      </c>
      <c r="P203" s="197">
        <v>0</v>
      </c>
      <c r="Q203" s="197">
        <v>0</v>
      </c>
      <c r="R203" s="197">
        <v>0</v>
      </c>
      <c r="S203" s="197">
        <v>0</v>
      </c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234">
        <f t="shared" si="68"/>
        <v>0</v>
      </c>
      <c r="AF203" s="234"/>
      <c r="AG203" s="235"/>
    </row>
    <row r="204" spans="1:33" s="189" customFormat="1" x14ac:dyDescent="0.25">
      <c r="A204" s="176" t="s">
        <v>117</v>
      </c>
      <c r="B204" s="174" t="s">
        <v>40</v>
      </c>
      <c r="C204" s="179" t="s">
        <v>4</v>
      </c>
      <c r="D204" s="176" t="s">
        <v>118</v>
      </c>
      <c r="E204" s="176" t="s">
        <v>118</v>
      </c>
      <c r="F204" s="176" t="s">
        <v>118</v>
      </c>
      <c r="G204" s="176" t="s">
        <v>118</v>
      </c>
      <c r="H204" s="176" t="s">
        <v>118</v>
      </c>
      <c r="I204" s="176" t="s">
        <v>118</v>
      </c>
      <c r="J204" s="176" t="s">
        <v>118</v>
      </c>
      <c r="K204" s="176" t="s">
        <v>118</v>
      </c>
      <c r="L204" s="176" t="s">
        <v>118</v>
      </c>
      <c r="M204" s="176" t="s">
        <v>118</v>
      </c>
      <c r="N204" s="176" t="s">
        <v>118</v>
      </c>
      <c r="O204" s="176" t="s">
        <v>118</v>
      </c>
      <c r="P204" s="176" t="s">
        <v>118</v>
      </c>
      <c r="Q204" s="176" t="s">
        <v>118</v>
      </c>
      <c r="R204" s="176" t="s">
        <v>118</v>
      </c>
      <c r="S204" s="176" t="s">
        <v>118</v>
      </c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234"/>
      <c r="AF204" s="234"/>
      <c r="AG204" s="235"/>
    </row>
    <row r="205" spans="1:33" s="189" customFormat="1" x14ac:dyDescent="0.25">
      <c r="A205" s="177" t="s">
        <v>119</v>
      </c>
      <c r="B205" s="178" t="s">
        <v>2</v>
      </c>
      <c r="C205" s="179" t="s">
        <v>4</v>
      </c>
      <c r="D205" s="177" t="s">
        <v>98</v>
      </c>
      <c r="E205" s="177" t="s">
        <v>98</v>
      </c>
      <c r="F205" s="177" t="s">
        <v>98</v>
      </c>
      <c r="G205" s="177" t="s">
        <v>98</v>
      </c>
      <c r="H205" s="177" t="s">
        <v>98</v>
      </c>
      <c r="I205" s="177" t="s">
        <v>98</v>
      </c>
      <c r="J205" s="177" t="s">
        <v>98</v>
      </c>
      <c r="K205" s="177" t="s">
        <v>98</v>
      </c>
      <c r="L205" s="177" t="s">
        <v>98</v>
      </c>
      <c r="M205" s="177" t="s">
        <v>98</v>
      </c>
      <c r="N205" s="177" t="s">
        <v>98</v>
      </c>
      <c r="O205" s="177" t="s">
        <v>98</v>
      </c>
      <c r="P205" s="177" t="s">
        <v>98</v>
      </c>
      <c r="Q205" s="177" t="s">
        <v>98</v>
      </c>
      <c r="R205" s="177" t="s">
        <v>98</v>
      </c>
      <c r="S205" s="177" t="s">
        <v>98</v>
      </c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234"/>
      <c r="AF205" s="234"/>
      <c r="AG205" s="235"/>
    </row>
    <row r="206" spans="1:33" s="189" customFormat="1" ht="25.5" x14ac:dyDescent="0.25">
      <c r="A206" s="177" t="s">
        <v>120</v>
      </c>
      <c r="B206" s="178" t="s">
        <v>61</v>
      </c>
      <c r="C206" s="179" t="s">
        <v>224</v>
      </c>
      <c r="D206" s="197">
        <v>19339</v>
      </c>
      <c r="E206" s="197">
        <v>13245.3</v>
      </c>
      <c r="F206" s="197">
        <v>61.5</v>
      </c>
      <c r="G206" s="197">
        <v>51.8</v>
      </c>
      <c r="H206" s="197">
        <v>46.4</v>
      </c>
      <c r="I206" s="197">
        <v>0</v>
      </c>
      <c r="J206" s="197">
        <v>5180.3999999999996</v>
      </c>
      <c r="K206" s="197">
        <v>6608.2</v>
      </c>
      <c r="L206" s="197">
        <v>1130.5999999999999</v>
      </c>
      <c r="M206" s="197">
        <v>182.1</v>
      </c>
      <c r="N206" s="197">
        <v>232.1</v>
      </c>
      <c r="O206" s="197">
        <v>237</v>
      </c>
      <c r="P206" s="197">
        <v>841.2</v>
      </c>
      <c r="Q206" s="197">
        <v>841.9</v>
      </c>
      <c r="R206" s="197">
        <v>837.3</v>
      </c>
      <c r="S206" s="197">
        <v>798.1</v>
      </c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238">
        <f t="shared" ref="AE206:AE214" si="86">SUM(D206:S206)</f>
        <v>49632.899999999994</v>
      </c>
      <c r="AF206" s="234"/>
      <c r="AG206" s="235"/>
    </row>
    <row r="207" spans="1:33" s="189" customFormat="1" ht="25.5" x14ac:dyDescent="0.25">
      <c r="A207" s="177"/>
      <c r="B207" s="178" t="s">
        <v>44</v>
      </c>
      <c r="C207" s="179"/>
      <c r="D207" s="197">
        <f>44465.54-1311.5</f>
        <v>43154.04</v>
      </c>
      <c r="E207" s="197">
        <f>50251.96-89.69</f>
        <v>50162.27</v>
      </c>
      <c r="F207" s="197">
        <v>0</v>
      </c>
      <c r="G207" s="197">
        <v>0</v>
      </c>
      <c r="H207" s="197">
        <v>0</v>
      </c>
      <c r="I207" s="197">
        <v>0</v>
      </c>
      <c r="J207" s="197">
        <f>37352.5-4.41</f>
        <v>37348.089999999997</v>
      </c>
      <c r="K207" s="197">
        <f>41619.28-466.57</f>
        <v>41152.71</v>
      </c>
      <c r="L207" s="197">
        <v>1722.1</v>
      </c>
      <c r="M207" s="197">
        <v>610.1</v>
      </c>
      <c r="N207" s="197">
        <v>428.62</v>
      </c>
      <c r="O207" s="197">
        <v>508.42</v>
      </c>
      <c r="P207" s="197">
        <v>1615.11</v>
      </c>
      <c r="Q207" s="197">
        <v>2467.67</v>
      </c>
      <c r="R207" s="197">
        <v>1178.8900000000001</v>
      </c>
      <c r="S207" s="197">
        <f>2961.35-0.05</f>
        <v>2961.2999999999997</v>
      </c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234">
        <f t="shared" si="86"/>
        <v>183309.32</v>
      </c>
      <c r="AF207" s="234"/>
      <c r="AG207" s="235"/>
    </row>
    <row r="208" spans="1:33" s="189" customFormat="1" x14ac:dyDescent="0.25">
      <c r="A208" s="177" t="s">
        <v>121</v>
      </c>
      <c r="B208" s="178" t="s">
        <v>62</v>
      </c>
      <c r="C208" s="179" t="s">
        <v>38</v>
      </c>
      <c r="D208" s="197">
        <v>232041.77</v>
      </c>
      <c r="E208" s="197">
        <v>137215.07</v>
      </c>
      <c r="F208" s="197">
        <v>0</v>
      </c>
      <c r="G208" s="197">
        <v>0</v>
      </c>
      <c r="H208" s="197">
        <v>0</v>
      </c>
      <c r="I208" s="197">
        <v>0</v>
      </c>
      <c r="J208" s="197">
        <v>105074.57</v>
      </c>
      <c r="K208" s="197">
        <v>166259.41</v>
      </c>
      <c r="L208" s="197">
        <v>26145.43</v>
      </c>
      <c r="M208" s="197">
        <v>4155.72</v>
      </c>
      <c r="N208" s="197">
        <v>5439.28</v>
      </c>
      <c r="O208" s="197">
        <v>5538.88</v>
      </c>
      <c r="P208" s="197">
        <f>19452.2</f>
        <v>19452.2</v>
      </c>
      <c r="Q208" s="197">
        <v>19123.91</v>
      </c>
      <c r="R208" s="197">
        <v>19343.400000000001</v>
      </c>
      <c r="S208" s="197">
        <v>18483.02</v>
      </c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234">
        <f t="shared" si="86"/>
        <v>758272.66</v>
      </c>
      <c r="AF208" s="234"/>
      <c r="AG208" s="235"/>
    </row>
    <row r="209" spans="1:33" s="189" customFormat="1" x14ac:dyDescent="0.25">
      <c r="A209" s="177" t="s">
        <v>122</v>
      </c>
      <c r="B209" s="178" t="s">
        <v>63</v>
      </c>
      <c r="C209" s="179" t="s">
        <v>38</v>
      </c>
      <c r="D209" s="197">
        <v>229603.03</v>
      </c>
      <c r="E209" s="197">
        <v>154437.79</v>
      </c>
      <c r="F209" s="197">
        <v>0</v>
      </c>
      <c r="G209" s="197">
        <v>0</v>
      </c>
      <c r="H209" s="197">
        <v>0</v>
      </c>
      <c r="I209" s="197">
        <v>0</v>
      </c>
      <c r="J209" s="197">
        <v>113885.02</v>
      </c>
      <c r="K209" s="197">
        <v>166232.79999999999</v>
      </c>
      <c r="L209" s="197">
        <v>26583.13</v>
      </c>
      <c r="M209" s="197">
        <v>4228.53</v>
      </c>
      <c r="N209" s="197">
        <v>5682.13</v>
      </c>
      <c r="O209" s="197">
        <v>5636.99</v>
      </c>
      <c r="P209" s="197">
        <v>20025.810000000001</v>
      </c>
      <c r="Q209" s="197">
        <v>16382.01</v>
      </c>
      <c r="R209" s="197">
        <v>19805.03</v>
      </c>
      <c r="S209" s="197">
        <v>13347.5</v>
      </c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234">
        <f t="shared" si="86"/>
        <v>775849.77000000014</v>
      </c>
      <c r="AF209" s="234"/>
      <c r="AG209" s="235"/>
    </row>
    <row r="210" spans="1:33" s="189" customFormat="1" x14ac:dyDescent="0.25">
      <c r="A210" s="177" t="s">
        <v>123</v>
      </c>
      <c r="B210" s="178" t="s">
        <v>64</v>
      </c>
      <c r="C210" s="179" t="s">
        <v>38</v>
      </c>
      <c r="D210" s="197">
        <f>D207+D208-D209</f>
        <v>45592.78</v>
      </c>
      <c r="E210" s="197">
        <f t="shared" ref="E210" si="87">E207+E208-E209</f>
        <v>32939.549999999988</v>
      </c>
      <c r="F210" s="197">
        <f t="shared" ref="F210" si="88">F207+F208-F209</f>
        <v>0</v>
      </c>
      <c r="G210" s="197">
        <f t="shared" ref="G210" si="89">G207+G208-G209</f>
        <v>0</v>
      </c>
      <c r="H210" s="197">
        <f t="shared" ref="H210" si="90">H207+H208-H209</f>
        <v>0</v>
      </c>
      <c r="I210" s="197">
        <f t="shared" ref="I210" si="91">I207+I208-I209</f>
        <v>0</v>
      </c>
      <c r="J210" s="197">
        <f t="shared" ref="J210" si="92">J207+J208-J209</f>
        <v>28537.64</v>
      </c>
      <c r="K210" s="197">
        <f t="shared" ref="K210" si="93">K207+K208-K209</f>
        <v>41179.320000000007</v>
      </c>
      <c r="L210" s="197">
        <f t="shared" ref="L210" si="94">L207+L208-L209</f>
        <v>1284.3999999999978</v>
      </c>
      <c r="M210" s="197">
        <f t="shared" ref="M210" si="95">M207+M208-M209</f>
        <v>537.29000000000087</v>
      </c>
      <c r="N210" s="197">
        <f t="shared" ref="N210" si="96">N207+N208-N209</f>
        <v>185.76999999999953</v>
      </c>
      <c r="O210" s="197">
        <f t="shared" ref="O210" si="97">O207+O208-O209</f>
        <v>410.3100000000004</v>
      </c>
      <c r="P210" s="197">
        <f t="shared" ref="P210" si="98">P207+P208-P209</f>
        <v>1041.5</v>
      </c>
      <c r="Q210" s="197">
        <f t="shared" ref="Q210" si="99">Q207+Q208-Q209</f>
        <v>5209.5700000000015</v>
      </c>
      <c r="R210" s="197">
        <f t="shared" ref="R210" si="100">R207+R208-R209</f>
        <v>717.26000000000204</v>
      </c>
      <c r="S210" s="197">
        <f t="shared" ref="S210" si="101">S207+S208-S209</f>
        <v>8096.82</v>
      </c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234">
        <f t="shared" si="86"/>
        <v>165732.21</v>
      </c>
      <c r="AF210" s="234"/>
      <c r="AG210" s="235"/>
    </row>
    <row r="211" spans="1:33" s="189" customFormat="1" ht="25.5" x14ac:dyDescent="0.25">
      <c r="A211" s="177" t="s">
        <v>124</v>
      </c>
      <c r="B211" s="178" t="s">
        <v>65</v>
      </c>
      <c r="C211" s="179" t="s">
        <v>38</v>
      </c>
      <c r="D211" s="197">
        <v>451841.68</v>
      </c>
      <c r="E211" s="197">
        <v>308656.87</v>
      </c>
      <c r="F211" s="197">
        <v>1439.44</v>
      </c>
      <c r="G211" s="197">
        <v>1212.73</v>
      </c>
      <c r="H211" s="197">
        <v>1085.3399999999999</v>
      </c>
      <c r="I211" s="197">
        <v>0</v>
      </c>
      <c r="J211" s="197">
        <v>120741.02</v>
      </c>
      <c r="K211" s="197">
        <v>154380.88</v>
      </c>
      <c r="L211" s="197">
        <v>26457.14</v>
      </c>
      <c r="M211" s="197">
        <v>4264.45</v>
      </c>
      <c r="N211" s="197">
        <v>5439.25</v>
      </c>
      <c r="O211" s="197">
        <v>5569.39</v>
      </c>
      <c r="P211" s="197">
        <v>19684.91</v>
      </c>
      <c r="Q211" s="197">
        <v>19671.47</v>
      </c>
      <c r="R211" s="197">
        <v>19584.59</v>
      </c>
      <c r="S211" s="197">
        <v>18675.64</v>
      </c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238">
        <f t="shared" si="86"/>
        <v>1158704.7999999996</v>
      </c>
      <c r="AF211" s="234"/>
      <c r="AG211" s="238"/>
    </row>
    <row r="212" spans="1:33" s="189" customFormat="1" ht="25.5" x14ac:dyDescent="0.25">
      <c r="A212" s="177" t="s">
        <v>125</v>
      </c>
      <c r="B212" s="178" t="s">
        <v>66</v>
      </c>
      <c r="C212" s="179" t="s">
        <v>38</v>
      </c>
      <c r="D212" s="197">
        <f>2421351.57*0.39/$AE$211*D211</f>
        <v>368244.22311116755</v>
      </c>
      <c r="E212" s="197">
        <f t="shared" ref="E212:S212" si="102">2421351.57*0.39/$AE$211*E211</f>
        <v>251550.74073970917</v>
      </c>
      <c r="F212" s="197">
        <f t="shared" si="102"/>
        <v>1173.1221088659618</v>
      </c>
      <c r="G212" s="197">
        <f t="shared" si="102"/>
        <v>988.35684369269836</v>
      </c>
      <c r="H212" s="197">
        <f t="shared" si="102"/>
        <v>884.53589565149139</v>
      </c>
      <c r="I212" s="197">
        <f t="shared" si="102"/>
        <v>0</v>
      </c>
      <c r="J212" s="197">
        <f t="shared" si="102"/>
        <v>98402.128611840206</v>
      </c>
      <c r="K212" s="197">
        <f t="shared" si="102"/>
        <v>125818.11226184</v>
      </c>
      <c r="L212" s="197">
        <f t="shared" si="102"/>
        <v>21562.174089480624</v>
      </c>
      <c r="M212" s="197">
        <f t="shared" si="102"/>
        <v>3475.4630808880188</v>
      </c>
      <c r="N212" s="197">
        <f t="shared" si="102"/>
        <v>4432.9075408833869</v>
      </c>
      <c r="O212" s="197">
        <f t="shared" si="102"/>
        <v>4538.9696978665306</v>
      </c>
      <c r="P212" s="197">
        <f t="shared" si="102"/>
        <v>16042.907750261669</v>
      </c>
      <c r="Q212" s="197">
        <f t="shared" si="102"/>
        <v>16031.954350923623</v>
      </c>
      <c r="R212" s="197">
        <f t="shared" si="102"/>
        <v>15961.148448059817</v>
      </c>
      <c r="S212" s="197">
        <f t="shared" si="102"/>
        <v>15220.367768869495</v>
      </c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234">
        <f t="shared" si="86"/>
        <v>944327.11230000039</v>
      </c>
      <c r="AF212" s="234"/>
      <c r="AG212" s="235"/>
    </row>
    <row r="213" spans="1:33" s="189" customFormat="1" ht="25.5" x14ac:dyDescent="0.25">
      <c r="A213" s="177" t="s">
        <v>126</v>
      </c>
      <c r="B213" s="178" t="s">
        <v>67</v>
      </c>
      <c r="C213" s="179" t="s">
        <v>38</v>
      </c>
      <c r="D213" s="197">
        <f>1929690.21*0.39/$AE$211*D211</f>
        <v>293471.33271798107</v>
      </c>
      <c r="E213" s="197">
        <f t="shared" ref="E213:S213" si="103">1929690.21*0.39/$AE$211*E211</f>
        <v>200472.74742662214</v>
      </c>
      <c r="F213" s="197">
        <f t="shared" si="103"/>
        <v>934.9167946781065</v>
      </c>
      <c r="G213" s="197">
        <f t="shared" si="103"/>
        <v>787.66856861694828</v>
      </c>
      <c r="H213" s="197">
        <f t="shared" si="103"/>
        <v>704.92871806809308</v>
      </c>
      <c r="I213" s="197">
        <f t="shared" si="103"/>
        <v>0</v>
      </c>
      <c r="J213" s="197">
        <f t="shared" si="103"/>
        <v>78421.335661483041</v>
      </c>
      <c r="K213" s="197">
        <f t="shared" si="103"/>
        <v>100270.43675956302</v>
      </c>
      <c r="L213" s="197">
        <f t="shared" si="103"/>
        <v>17183.921889866833</v>
      </c>
      <c r="M213" s="197">
        <f t="shared" si="103"/>
        <v>2769.7617997728635</v>
      </c>
      <c r="N213" s="197">
        <f t="shared" si="103"/>
        <v>3532.7948198277736</v>
      </c>
      <c r="O213" s="197">
        <f t="shared" si="103"/>
        <v>3617.3207963599034</v>
      </c>
      <c r="P213" s="197">
        <f t="shared" si="103"/>
        <v>12785.356083426195</v>
      </c>
      <c r="Q213" s="197">
        <f t="shared" si="103"/>
        <v>12776.626798620666</v>
      </c>
      <c r="R213" s="197">
        <f t="shared" si="103"/>
        <v>12720.198207556339</v>
      </c>
      <c r="S213" s="197">
        <f t="shared" si="103"/>
        <v>12129.834857557265</v>
      </c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234">
        <f t="shared" si="86"/>
        <v>752579.18190000032</v>
      </c>
      <c r="AF213" s="234"/>
      <c r="AG213" s="235"/>
    </row>
    <row r="214" spans="1:33" s="189" customFormat="1" ht="38.25" x14ac:dyDescent="0.25">
      <c r="A214" s="177" t="s">
        <v>127</v>
      </c>
      <c r="B214" s="178" t="s">
        <v>68</v>
      </c>
      <c r="C214" s="179" t="s">
        <v>38</v>
      </c>
      <c r="D214" s="198">
        <v>0</v>
      </c>
      <c r="E214" s="198">
        <v>0</v>
      </c>
      <c r="F214" s="198">
        <v>0</v>
      </c>
      <c r="G214" s="198">
        <v>0</v>
      </c>
      <c r="H214" s="198">
        <v>0</v>
      </c>
      <c r="I214" s="198">
        <v>0</v>
      </c>
      <c r="J214" s="198">
        <v>0</v>
      </c>
      <c r="K214" s="198">
        <v>0</v>
      </c>
      <c r="L214" s="198">
        <v>0</v>
      </c>
      <c r="M214" s="198">
        <v>0</v>
      </c>
      <c r="N214" s="198">
        <v>0</v>
      </c>
      <c r="O214" s="198">
        <v>0</v>
      </c>
      <c r="P214" s="198">
        <v>0</v>
      </c>
      <c r="Q214" s="198">
        <v>0</v>
      </c>
      <c r="R214" s="198">
        <v>0</v>
      </c>
      <c r="S214" s="198">
        <v>0</v>
      </c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234">
        <f t="shared" si="86"/>
        <v>0</v>
      </c>
      <c r="AF214" s="234"/>
      <c r="AG214" s="235"/>
    </row>
    <row r="215" spans="1:33" s="189" customFormat="1" x14ac:dyDescent="0.25">
      <c r="A215" s="176" t="s">
        <v>189</v>
      </c>
      <c r="B215" s="174" t="s">
        <v>40</v>
      </c>
      <c r="C215" s="179" t="s">
        <v>4</v>
      </c>
      <c r="D215" s="176" t="s">
        <v>199</v>
      </c>
      <c r="E215" s="176" t="s">
        <v>199</v>
      </c>
      <c r="F215" s="176" t="s">
        <v>199</v>
      </c>
      <c r="G215" s="176" t="s">
        <v>199</v>
      </c>
      <c r="H215" s="176" t="s">
        <v>199</v>
      </c>
      <c r="I215" s="176" t="s">
        <v>199</v>
      </c>
      <c r="J215" s="176" t="s">
        <v>199</v>
      </c>
      <c r="K215" s="176" t="s">
        <v>199</v>
      </c>
      <c r="L215" s="176" t="s">
        <v>199</v>
      </c>
      <c r="M215" s="176" t="s">
        <v>199</v>
      </c>
      <c r="N215" s="176" t="s">
        <v>199</v>
      </c>
      <c r="O215" s="176" t="s">
        <v>199</v>
      </c>
      <c r="P215" s="176" t="s">
        <v>199</v>
      </c>
      <c r="Q215" s="176" t="s">
        <v>199</v>
      </c>
      <c r="R215" s="176" t="s">
        <v>199</v>
      </c>
      <c r="S215" s="176" t="s">
        <v>199</v>
      </c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234"/>
      <c r="AF215" s="234"/>
      <c r="AG215" s="235"/>
    </row>
    <row r="216" spans="1:33" s="189" customFormat="1" x14ac:dyDescent="0.25">
      <c r="A216" s="177" t="s">
        <v>190</v>
      </c>
      <c r="B216" s="178" t="s">
        <v>2</v>
      </c>
      <c r="C216" s="179" t="s">
        <v>4</v>
      </c>
      <c r="D216" s="177" t="s">
        <v>98</v>
      </c>
      <c r="E216" s="177" t="s">
        <v>98</v>
      </c>
      <c r="F216" s="177" t="s">
        <v>98</v>
      </c>
      <c r="G216" s="177" t="s">
        <v>98</v>
      </c>
      <c r="H216" s="177" t="s">
        <v>98</v>
      </c>
      <c r="I216" s="177" t="s">
        <v>98</v>
      </c>
      <c r="J216" s="177" t="s">
        <v>98</v>
      </c>
      <c r="K216" s="177" t="s">
        <v>98</v>
      </c>
      <c r="L216" s="177" t="s">
        <v>98</v>
      </c>
      <c r="M216" s="177" t="s">
        <v>98</v>
      </c>
      <c r="N216" s="177" t="s">
        <v>98</v>
      </c>
      <c r="O216" s="177" t="s">
        <v>98</v>
      </c>
      <c r="P216" s="177" t="s">
        <v>98</v>
      </c>
      <c r="Q216" s="177" t="s">
        <v>98</v>
      </c>
      <c r="R216" s="177" t="s">
        <v>98</v>
      </c>
      <c r="S216" s="177" t="s">
        <v>98</v>
      </c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234"/>
      <c r="AF216" s="234"/>
      <c r="AG216" s="235"/>
    </row>
    <row r="217" spans="1:33" s="189" customFormat="1" ht="25.5" x14ac:dyDescent="0.25">
      <c r="A217" s="177" t="s">
        <v>191</v>
      </c>
      <c r="B217" s="178" t="s">
        <v>61</v>
      </c>
      <c r="C217" s="179" t="s">
        <v>224</v>
      </c>
      <c r="D217" s="197">
        <v>25359.1</v>
      </c>
      <c r="E217" s="197">
        <v>16873.400000000001</v>
      </c>
      <c r="F217" s="197">
        <v>123</v>
      </c>
      <c r="G217" s="197">
        <v>103.5</v>
      </c>
      <c r="H217" s="197">
        <v>1308</v>
      </c>
      <c r="I217" s="197">
        <v>0</v>
      </c>
      <c r="J217" s="197">
        <v>7971.3</v>
      </c>
      <c r="K217" s="197">
        <v>12792.9</v>
      </c>
      <c r="L217" s="197">
        <v>1779.6</v>
      </c>
      <c r="M217" s="197">
        <v>186.8</v>
      </c>
      <c r="N217" s="197">
        <v>232.1</v>
      </c>
      <c r="O217" s="197">
        <v>403.9</v>
      </c>
      <c r="P217" s="197">
        <v>1433.9</v>
      </c>
      <c r="Q217" s="197">
        <v>1425.6</v>
      </c>
      <c r="R217" s="197">
        <v>1368.7</v>
      </c>
      <c r="S217" s="197">
        <v>1360</v>
      </c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229">
        <f t="shared" ref="AE217:AE225" si="104">SUM(D217:S217)</f>
        <v>72721.8</v>
      </c>
      <c r="AF217" s="234"/>
      <c r="AG217" s="235"/>
    </row>
    <row r="218" spans="1:33" s="189" customFormat="1" ht="25.5" x14ac:dyDescent="0.25">
      <c r="A218" s="177"/>
      <c r="B218" s="178" t="s">
        <v>44</v>
      </c>
      <c r="C218" s="179"/>
      <c r="D218" s="197">
        <f>80915.4-2376.78</f>
        <v>78538.62</v>
      </c>
      <c r="E218" s="197">
        <f>91245.4-107.56</f>
        <v>91137.84</v>
      </c>
      <c r="F218" s="197">
        <v>0</v>
      </c>
      <c r="G218" s="197">
        <v>0</v>
      </c>
      <c r="H218" s="197">
        <v>0</v>
      </c>
      <c r="I218" s="197">
        <v>0</v>
      </c>
      <c r="J218" s="197">
        <f>67326.03-8.06</f>
        <v>67317.97</v>
      </c>
      <c r="K218" s="197">
        <f>75290.76-683</f>
        <v>74607.759999999995</v>
      </c>
      <c r="L218" s="197">
        <v>3069.45</v>
      </c>
      <c r="M218" s="197">
        <v>644.16</v>
      </c>
      <c r="N218" s="197">
        <v>452.55</v>
      </c>
      <c r="O218" s="197">
        <v>927.2</v>
      </c>
      <c r="P218" s="197">
        <v>2959.65</v>
      </c>
      <c r="Q218" s="197">
        <v>4626.41</v>
      </c>
      <c r="R218" s="197">
        <v>2075.96</v>
      </c>
      <c r="S218" s="197">
        <f>5405.05-0.1</f>
        <v>5404.95</v>
      </c>
      <c r="T218" s="197"/>
      <c r="U218" s="197"/>
      <c r="V218" s="197"/>
      <c r="W218" s="197"/>
      <c r="X218" s="197"/>
      <c r="Y218" s="198"/>
      <c r="Z218" s="197"/>
      <c r="AA218" s="197"/>
      <c r="AB218" s="197"/>
      <c r="AC218" s="197"/>
      <c r="AD218" s="197"/>
      <c r="AE218" s="234">
        <f t="shared" si="104"/>
        <v>331762.52</v>
      </c>
      <c r="AF218" s="234"/>
      <c r="AG218" s="235"/>
    </row>
    <row r="219" spans="1:33" s="189" customFormat="1" x14ac:dyDescent="0.25">
      <c r="A219" s="177" t="s">
        <v>192</v>
      </c>
      <c r="B219" s="178" t="s">
        <v>62</v>
      </c>
      <c r="C219" s="179" t="s">
        <v>38</v>
      </c>
      <c r="D219" s="197">
        <v>412078.3</v>
      </c>
      <c r="E219" s="197">
        <v>239666.56</v>
      </c>
      <c r="F219" s="197">
        <v>0</v>
      </c>
      <c r="G219" s="197">
        <v>0</v>
      </c>
      <c r="H219" s="197">
        <v>0</v>
      </c>
      <c r="I219" s="197">
        <v>0</v>
      </c>
      <c r="J219" s="197">
        <v>183568.45</v>
      </c>
      <c r="K219" s="197">
        <v>283879.55</v>
      </c>
      <c r="L219" s="197">
        <v>45647.54</v>
      </c>
      <c r="M219" s="197">
        <v>4353.1000000000004</v>
      </c>
      <c r="N219" s="197">
        <v>5696.76</v>
      </c>
      <c r="O219" s="197">
        <v>10053.32</v>
      </c>
      <c r="P219" s="197">
        <v>35101.440000000002</v>
      </c>
      <c r="Q219" s="197">
        <v>34388.639999999999</v>
      </c>
      <c r="R219" s="197">
        <v>33556.35</v>
      </c>
      <c r="S219" s="197">
        <v>33527.620000000003</v>
      </c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234">
        <f t="shared" si="104"/>
        <v>1321517.6300000004</v>
      </c>
      <c r="AF219" s="234"/>
      <c r="AG219" s="235"/>
    </row>
    <row r="220" spans="1:33" s="189" customFormat="1" x14ac:dyDescent="0.25">
      <c r="A220" s="177" t="s">
        <v>193</v>
      </c>
      <c r="B220" s="178" t="s">
        <v>63</v>
      </c>
      <c r="C220" s="179" t="s">
        <v>38</v>
      </c>
      <c r="D220" s="197">
        <v>399744.36</v>
      </c>
      <c r="E220" s="197">
        <v>238747.04</v>
      </c>
      <c r="F220" s="197">
        <v>0</v>
      </c>
      <c r="G220" s="197">
        <v>0</v>
      </c>
      <c r="H220" s="197">
        <v>0</v>
      </c>
      <c r="I220" s="197">
        <v>0</v>
      </c>
      <c r="J220" s="197">
        <v>186590.51</v>
      </c>
      <c r="K220" s="197">
        <v>277043.94</v>
      </c>
      <c r="L220" s="197">
        <v>46493.25</v>
      </c>
      <c r="M220" s="197">
        <v>4437.97</v>
      </c>
      <c r="N220" s="197">
        <v>5955.94</v>
      </c>
      <c r="O220" s="197">
        <v>10234.799999999999</v>
      </c>
      <c r="P220" s="197">
        <v>36192.17</v>
      </c>
      <c r="Q220" s="197">
        <v>29573.72</v>
      </c>
      <c r="R220" s="197">
        <v>34328.769999999997</v>
      </c>
      <c r="S220" s="197">
        <v>24008.639999999999</v>
      </c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234">
        <f t="shared" si="104"/>
        <v>1293351.1099999999</v>
      </c>
      <c r="AF220" s="234"/>
      <c r="AG220" s="235"/>
    </row>
    <row r="221" spans="1:33" s="189" customFormat="1" x14ac:dyDescent="0.25">
      <c r="A221" s="177" t="s">
        <v>194</v>
      </c>
      <c r="B221" s="178" t="s">
        <v>64</v>
      </c>
      <c r="C221" s="179" t="s">
        <v>38</v>
      </c>
      <c r="D221" s="197">
        <f t="shared" ref="D221:E221" si="105">D218+D219-D220</f>
        <v>90872.56</v>
      </c>
      <c r="E221" s="197">
        <f t="shared" si="105"/>
        <v>92057.360000000015</v>
      </c>
      <c r="F221" s="197">
        <f t="shared" ref="F221" si="106">F218+F219-F220</f>
        <v>0</v>
      </c>
      <c r="G221" s="197">
        <f t="shared" ref="G221" si="107">G218+G219-G220</f>
        <v>0</v>
      </c>
      <c r="H221" s="197">
        <f t="shared" ref="H221" si="108">H218+H219-H220</f>
        <v>0</v>
      </c>
      <c r="I221" s="197">
        <f t="shared" ref="I221" si="109">I218+I219-I220</f>
        <v>0</v>
      </c>
      <c r="J221" s="197">
        <f t="shared" ref="J221" si="110">J218+J219-J220</f>
        <v>64295.91</v>
      </c>
      <c r="K221" s="197">
        <f t="shared" ref="K221" si="111">K218+K219-K220</f>
        <v>81443.37</v>
      </c>
      <c r="L221" s="197">
        <f t="shared" ref="L221" si="112">L218+L219-L220</f>
        <v>2223.739999999998</v>
      </c>
      <c r="M221" s="197">
        <f t="shared" ref="M221" si="113">M218+M219-M220</f>
        <v>559.29</v>
      </c>
      <c r="N221" s="197">
        <f t="shared" ref="N221" si="114">N218+N219-N220</f>
        <v>193.3700000000008</v>
      </c>
      <c r="O221" s="197">
        <f t="shared" ref="O221" si="115">O218+O219-O220</f>
        <v>745.72000000000116</v>
      </c>
      <c r="P221" s="197">
        <f t="shared" ref="P221" si="116">P218+P219-P220</f>
        <v>1868.9200000000055</v>
      </c>
      <c r="Q221" s="197">
        <f t="shared" ref="Q221" si="117">Q218+Q219-Q220</f>
        <v>9441.3300000000017</v>
      </c>
      <c r="R221" s="197">
        <f t="shared" ref="R221" si="118">R218+R219-R220</f>
        <v>1303.5400000000009</v>
      </c>
      <c r="S221" s="197">
        <f t="shared" ref="S221" si="119">S218+S219-S220</f>
        <v>14923.93</v>
      </c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234">
        <f t="shared" si="104"/>
        <v>359929.03999999992</v>
      </c>
      <c r="AF221" s="234"/>
      <c r="AG221" s="235"/>
    </row>
    <row r="222" spans="1:33" s="189" customFormat="1" ht="25.5" x14ac:dyDescent="0.25">
      <c r="A222" s="177" t="s">
        <v>195</v>
      </c>
      <c r="B222" s="178" t="s">
        <v>65</v>
      </c>
      <c r="C222" s="179" t="s">
        <v>38</v>
      </c>
      <c r="D222" s="197">
        <v>621596.67000000004</v>
      </c>
      <c r="E222" s="197">
        <v>412966.35</v>
      </c>
      <c r="F222" s="197">
        <v>3017.52</v>
      </c>
      <c r="G222" s="197">
        <v>2540.6</v>
      </c>
      <c r="H222" s="197">
        <v>32035.79</v>
      </c>
      <c r="I222" s="197">
        <v>0</v>
      </c>
      <c r="J222" s="197">
        <v>195120.84</v>
      </c>
      <c r="K222" s="197">
        <v>313521.57</v>
      </c>
      <c r="L222" s="197">
        <v>43663.97</v>
      </c>
      <c r="M222" s="197">
        <v>4582.38</v>
      </c>
      <c r="N222" s="197">
        <v>5696.4</v>
      </c>
      <c r="O222" s="197">
        <v>9923.84</v>
      </c>
      <c r="P222" s="197">
        <v>35166.61</v>
      </c>
      <c r="Q222" s="197">
        <v>34946.959999999999</v>
      </c>
      <c r="R222" s="197">
        <v>33562.33</v>
      </c>
      <c r="S222" s="197">
        <v>33356.06</v>
      </c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238">
        <f t="shared" si="104"/>
        <v>1781697.8900000001</v>
      </c>
      <c r="AF222" s="234"/>
      <c r="AG222" s="238"/>
    </row>
    <row r="223" spans="1:33" s="189" customFormat="1" ht="25.5" x14ac:dyDescent="0.25">
      <c r="A223" s="177" t="s">
        <v>196</v>
      </c>
      <c r="B223" s="178" t="s">
        <v>66</v>
      </c>
      <c r="C223" s="179" t="s">
        <v>38</v>
      </c>
      <c r="D223" s="197">
        <f>2421351.57*0.61/$AE$222*D222</f>
        <v>515302.56030941126</v>
      </c>
      <c r="E223" s="197">
        <f t="shared" ref="E223:S223" si="120">2421351.57*0.61/$AE$222*E222</f>
        <v>342348.3872213029</v>
      </c>
      <c r="F223" s="197">
        <f t="shared" si="120"/>
        <v>2501.5188414456188</v>
      </c>
      <c r="G223" s="197">
        <f t="shared" si="120"/>
        <v>2106.1529894008122</v>
      </c>
      <c r="H223" s="197">
        <f t="shared" si="120"/>
        <v>26557.614294385836</v>
      </c>
      <c r="I223" s="197">
        <f t="shared" si="120"/>
        <v>0</v>
      </c>
      <c r="J223" s="197">
        <f t="shared" si="120"/>
        <v>161754.83762119091</v>
      </c>
      <c r="K223" s="197">
        <f t="shared" si="120"/>
        <v>259908.83724204364</v>
      </c>
      <c r="L223" s="197">
        <f t="shared" si="120"/>
        <v>36197.355327327161</v>
      </c>
      <c r="M223" s="197">
        <f t="shared" si="120"/>
        <v>3798.7850647762316</v>
      </c>
      <c r="N223" s="197">
        <f t="shared" si="120"/>
        <v>4722.3057107859504</v>
      </c>
      <c r="O223" s="197">
        <f t="shared" si="120"/>
        <v>8226.8461317544516</v>
      </c>
      <c r="P223" s="197">
        <f t="shared" si="120"/>
        <v>29153.058639137409</v>
      </c>
      <c r="Q223" s="197">
        <f t="shared" si="120"/>
        <v>28970.969170459975</v>
      </c>
      <c r="R223" s="197">
        <f t="shared" si="120"/>
        <v>27823.113304241742</v>
      </c>
      <c r="S223" s="197">
        <f t="shared" si="120"/>
        <v>27652.115832336003</v>
      </c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238">
        <f t="shared" si="104"/>
        <v>1477024.4576999997</v>
      </c>
      <c r="AF223" s="234"/>
      <c r="AG223" s="238"/>
    </row>
    <row r="224" spans="1:33" s="189" customFormat="1" ht="25.5" x14ac:dyDescent="0.25">
      <c r="A224" s="177" t="s">
        <v>197</v>
      </c>
      <c r="B224" s="178" t="s">
        <v>67</v>
      </c>
      <c r="C224" s="179" t="s">
        <v>38</v>
      </c>
      <c r="D224" s="197">
        <f>1929690.21*0.61/$AE$223*D223</f>
        <v>410669.1147774983</v>
      </c>
      <c r="E224" s="197">
        <f t="shared" ref="E224:S224" si="121">1929690.21*0.61/$AE$223*E223</f>
        <v>272833.70965837786</v>
      </c>
      <c r="F224" s="197">
        <f t="shared" si="121"/>
        <v>1993.5793208534992</v>
      </c>
      <c r="G224" s="197">
        <f t="shared" si="121"/>
        <v>1678.4934723085182</v>
      </c>
      <c r="H224" s="197">
        <f t="shared" si="121"/>
        <v>21165.025740079709</v>
      </c>
      <c r="I224" s="197">
        <f t="shared" si="121"/>
        <v>0</v>
      </c>
      <c r="J224" s="197">
        <f t="shared" si="121"/>
        <v>128910.12211735606</v>
      </c>
      <c r="K224" s="197">
        <f t="shared" si="121"/>
        <v>207133.71198650642</v>
      </c>
      <c r="L224" s="197">
        <f t="shared" si="121"/>
        <v>28847.393773153966</v>
      </c>
      <c r="M224" s="197">
        <f t="shared" si="121"/>
        <v>3027.432463842048</v>
      </c>
      <c r="N224" s="197">
        <f t="shared" si="121"/>
        <v>3763.4299833339533</v>
      </c>
      <c r="O224" s="197">
        <f t="shared" si="121"/>
        <v>6556.3648981477472</v>
      </c>
      <c r="P224" s="197">
        <f t="shared" si="121"/>
        <v>23233.458761008998</v>
      </c>
      <c r="Q224" s="197">
        <f t="shared" si="121"/>
        <v>23088.343004418992</v>
      </c>
      <c r="R224" s="197">
        <f t="shared" si="121"/>
        <v>22173.562080006439</v>
      </c>
      <c r="S224" s="197">
        <f t="shared" si="121"/>
        <v>22037.286063107636</v>
      </c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234">
        <f t="shared" si="104"/>
        <v>1177111.0280999998</v>
      </c>
      <c r="AF224" s="234"/>
      <c r="AG224" s="235"/>
    </row>
    <row r="225" spans="1:33" s="189" customFormat="1" ht="38.25" x14ac:dyDescent="0.25">
      <c r="A225" s="177" t="s">
        <v>198</v>
      </c>
      <c r="B225" s="178" t="s">
        <v>68</v>
      </c>
      <c r="C225" s="179" t="s">
        <v>38</v>
      </c>
      <c r="D225" s="198">
        <v>0</v>
      </c>
      <c r="E225" s="198">
        <v>0</v>
      </c>
      <c r="F225" s="198">
        <v>0</v>
      </c>
      <c r="G225" s="198">
        <v>0</v>
      </c>
      <c r="H225" s="198">
        <v>0</v>
      </c>
      <c r="I225" s="198">
        <v>0</v>
      </c>
      <c r="J225" s="198">
        <v>0</v>
      </c>
      <c r="K225" s="198">
        <v>0</v>
      </c>
      <c r="L225" s="198">
        <v>0</v>
      </c>
      <c r="M225" s="198">
        <v>0</v>
      </c>
      <c r="N225" s="198">
        <v>0</v>
      </c>
      <c r="O225" s="198">
        <v>0</v>
      </c>
      <c r="P225" s="198">
        <v>0</v>
      </c>
      <c r="Q225" s="198">
        <v>0</v>
      </c>
      <c r="R225" s="198">
        <v>0</v>
      </c>
      <c r="S225" s="198">
        <v>0</v>
      </c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234">
        <f t="shared" si="104"/>
        <v>0</v>
      </c>
      <c r="AF225" s="234"/>
      <c r="AG225" s="235"/>
    </row>
    <row r="226" spans="1:33" s="189" customFormat="1" x14ac:dyDescent="0.25">
      <c r="A226" s="176" t="s">
        <v>2359</v>
      </c>
      <c r="B226" s="174" t="s">
        <v>40</v>
      </c>
      <c r="C226" s="179" t="s">
        <v>4</v>
      </c>
      <c r="D226" s="176" t="s">
        <v>2369</v>
      </c>
      <c r="E226" s="176" t="s">
        <v>2369</v>
      </c>
      <c r="F226" s="176" t="s">
        <v>2369</v>
      </c>
      <c r="G226" s="176" t="s">
        <v>2369</v>
      </c>
      <c r="H226" s="176" t="s">
        <v>2369</v>
      </c>
      <c r="I226" s="176" t="s">
        <v>2369</v>
      </c>
      <c r="J226" s="176" t="s">
        <v>2369</v>
      </c>
      <c r="K226" s="176" t="s">
        <v>2369</v>
      </c>
      <c r="L226" s="176" t="s">
        <v>2369</v>
      </c>
      <c r="M226" s="176" t="s">
        <v>2369</v>
      </c>
      <c r="N226" s="176" t="s">
        <v>2369</v>
      </c>
      <c r="O226" s="176" t="s">
        <v>2369</v>
      </c>
      <c r="P226" s="176" t="s">
        <v>2369</v>
      </c>
      <c r="Q226" s="176" t="s">
        <v>2369</v>
      </c>
      <c r="R226" s="176" t="s">
        <v>2369</v>
      </c>
      <c r="S226" s="176" t="s">
        <v>2369</v>
      </c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234"/>
      <c r="AF226" s="234"/>
      <c r="AG226" s="235"/>
    </row>
    <row r="227" spans="1:33" s="189" customFormat="1" x14ac:dyDescent="0.25">
      <c r="A227" s="177" t="s">
        <v>2360</v>
      </c>
      <c r="B227" s="178" t="s">
        <v>2</v>
      </c>
      <c r="C227" s="179" t="s">
        <v>4</v>
      </c>
      <c r="D227" s="177" t="s">
        <v>98</v>
      </c>
      <c r="E227" s="177" t="s">
        <v>98</v>
      </c>
      <c r="F227" s="177" t="s">
        <v>98</v>
      </c>
      <c r="G227" s="177" t="s">
        <v>98</v>
      </c>
      <c r="H227" s="177" t="s">
        <v>98</v>
      </c>
      <c r="I227" s="177" t="s">
        <v>98</v>
      </c>
      <c r="J227" s="177" t="s">
        <v>98</v>
      </c>
      <c r="K227" s="177" t="s">
        <v>98</v>
      </c>
      <c r="L227" s="177" t="s">
        <v>98</v>
      </c>
      <c r="M227" s="177" t="s">
        <v>98</v>
      </c>
      <c r="N227" s="177" t="s">
        <v>98</v>
      </c>
      <c r="O227" s="177" t="s">
        <v>98</v>
      </c>
      <c r="P227" s="177" t="s">
        <v>98</v>
      </c>
      <c r="Q227" s="177" t="s">
        <v>98</v>
      </c>
      <c r="R227" s="177" t="s">
        <v>98</v>
      </c>
      <c r="S227" s="177" t="s">
        <v>98</v>
      </c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234"/>
      <c r="AF227" s="234"/>
      <c r="AG227" s="235"/>
    </row>
    <row r="228" spans="1:33" s="189" customFormat="1" ht="25.5" x14ac:dyDescent="0.25">
      <c r="A228" s="177" t="s">
        <v>2361</v>
      </c>
      <c r="B228" s="178" t="s">
        <v>61</v>
      </c>
      <c r="C228" s="179" t="s">
        <v>224</v>
      </c>
      <c r="D228" s="197">
        <f>31.682*6+31.682*6</f>
        <v>380.18399999999997</v>
      </c>
      <c r="E228" s="197">
        <f>31.548*6</f>
        <v>189.28799999999998</v>
      </c>
      <c r="F228" s="197">
        <f>6.968*6+6.968*6</f>
        <v>83.616</v>
      </c>
      <c r="G228" s="197">
        <f>6.86*6+6.86*6</f>
        <v>82.320000000000007</v>
      </c>
      <c r="H228" s="197">
        <f>19.748*6+19.748*6</f>
        <v>236.976</v>
      </c>
      <c r="I228" s="197">
        <v>0</v>
      </c>
      <c r="J228" s="197">
        <f>46.161*6</f>
        <v>276.96600000000001</v>
      </c>
      <c r="K228" s="197">
        <f>22.918*6</f>
        <v>137.50799999999998</v>
      </c>
      <c r="L228" s="197">
        <f>4.694*6</f>
        <v>28.164000000000001</v>
      </c>
      <c r="M228" s="197">
        <f>0.918*6</f>
        <v>5.508</v>
      </c>
      <c r="N228" s="197">
        <f>0.912*6</f>
        <v>5.4720000000000004</v>
      </c>
      <c r="O228" s="197">
        <f>1.275*6</f>
        <v>7.6499999999999995</v>
      </c>
      <c r="P228" s="197">
        <f>18.806*6+3.19*6</f>
        <v>131.976</v>
      </c>
      <c r="Q228" s="197">
        <f>3.301*6</f>
        <v>19.806000000000001</v>
      </c>
      <c r="R228" s="197">
        <f>3.18*6</f>
        <v>19.080000000000002</v>
      </c>
      <c r="S228" s="197">
        <f>1.336*6</f>
        <v>8.016</v>
      </c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229">
        <f t="shared" ref="AE228:AE236" si="122">SUM(D228:S228)</f>
        <v>1612.5300000000002</v>
      </c>
      <c r="AF228" s="234"/>
      <c r="AG228" s="235"/>
    </row>
    <row r="229" spans="1:33" s="189" customFormat="1" ht="25.5" x14ac:dyDescent="0.25">
      <c r="A229" s="177"/>
      <c r="B229" s="178" t="s">
        <v>44</v>
      </c>
      <c r="C229" s="179"/>
      <c r="D229" s="197">
        <f>58276.79-378.09</f>
        <v>57898.700000000004</v>
      </c>
      <c r="E229" s="197">
        <f>71579.43-45.28</f>
        <v>71534.149999999994</v>
      </c>
      <c r="F229" s="197">
        <f>16991.77-0.07</f>
        <v>16991.7</v>
      </c>
      <c r="G229" s="197">
        <f>21923.75-6.98</f>
        <v>21916.77</v>
      </c>
      <c r="H229" s="197">
        <f>43500.3-5.48</f>
        <v>43494.82</v>
      </c>
      <c r="I229" s="197">
        <v>0</v>
      </c>
      <c r="J229" s="197">
        <f>60692-7.11</f>
        <v>60684.89</v>
      </c>
      <c r="K229" s="197">
        <f>50070.32-10.71</f>
        <v>50059.61</v>
      </c>
      <c r="L229" s="197">
        <f>7059.86-0.18</f>
        <v>7059.6799999999994</v>
      </c>
      <c r="M229" s="197">
        <v>1915.28</v>
      </c>
      <c r="N229" s="197">
        <v>1714.38</v>
      </c>
      <c r="O229" s="197">
        <v>2259.88</v>
      </c>
      <c r="P229" s="197">
        <v>5177.5600000000004</v>
      </c>
      <c r="Q229" s="197">
        <v>6018.66</v>
      </c>
      <c r="R229" s="197">
        <f>4383.82-0.01</f>
        <v>4383.8099999999995</v>
      </c>
      <c r="S229" s="197">
        <f>10430.36-0.27</f>
        <v>10430.09</v>
      </c>
      <c r="T229" s="197"/>
      <c r="U229" s="197"/>
      <c r="V229" s="197"/>
      <c r="W229" s="197"/>
      <c r="X229" s="197"/>
      <c r="Y229" s="198"/>
      <c r="Z229" s="197"/>
      <c r="AA229" s="197"/>
      <c r="AB229" s="197"/>
      <c r="AC229" s="197"/>
      <c r="AD229" s="197"/>
      <c r="AE229" s="234">
        <f t="shared" si="122"/>
        <v>361539.98000000004</v>
      </c>
      <c r="AF229" s="234"/>
      <c r="AG229" s="235"/>
    </row>
    <row r="230" spans="1:33" s="189" customFormat="1" x14ac:dyDescent="0.25">
      <c r="A230" s="177" t="s">
        <v>2362</v>
      </c>
      <c r="B230" s="178" t="s">
        <v>62</v>
      </c>
      <c r="C230" s="179" t="s">
        <v>38</v>
      </c>
      <c r="D230" s="197">
        <v>402795.48</v>
      </c>
      <c r="E230" s="197">
        <v>201797.52</v>
      </c>
      <c r="F230" s="197">
        <v>87273.96</v>
      </c>
      <c r="G230" s="197">
        <v>85920</v>
      </c>
      <c r="H230" s="197">
        <v>247335.48</v>
      </c>
      <c r="I230" s="197">
        <v>0</v>
      </c>
      <c r="J230" s="197">
        <v>144252.63</v>
      </c>
      <c r="K230" s="197">
        <v>287731.59999999998</v>
      </c>
      <c r="L230" s="197">
        <v>59313.96</v>
      </c>
      <c r="M230" s="197">
        <v>11496</v>
      </c>
      <c r="N230" s="197">
        <v>12431.28</v>
      </c>
      <c r="O230" s="197">
        <v>15963.6</v>
      </c>
      <c r="P230" s="197">
        <v>39999.72</v>
      </c>
      <c r="Q230" s="197">
        <v>41261.879999999997</v>
      </c>
      <c r="R230" s="197">
        <v>39736.44</v>
      </c>
      <c r="S230" s="197">
        <v>39336.959999999999</v>
      </c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234">
        <f t="shared" si="122"/>
        <v>1716646.5099999998</v>
      </c>
      <c r="AF230" s="234"/>
      <c r="AG230" s="235"/>
    </row>
    <row r="231" spans="1:33" s="189" customFormat="1" x14ac:dyDescent="0.25">
      <c r="A231" s="177" t="s">
        <v>2363</v>
      </c>
      <c r="B231" s="178" t="s">
        <v>63</v>
      </c>
      <c r="C231" s="179" t="s">
        <v>38</v>
      </c>
      <c r="D231" s="197">
        <v>384006.54</v>
      </c>
      <c r="E231" s="197">
        <v>217816.27</v>
      </c>
      <c r="F231" s="197">
        <v>71390.81</v>
      </c>
      <c r="G231" s="197">
        <v>51131.9</v>
      </c>
      <c r="H231" s="197">
        <v>192837.69</v>
      </c>
      <c r="I231" s="197">
        <v>0</v>
      </c>
      <c r="J231" s="197">
        <v>158114.09</v>
      </c>
      <c r="K231" s="197">
        <v>268231.53000000003</v>
      </c>
      <c r="L231" s="197">
        <v>62740.79</v>
      </c>
      <c r="M231" s="197">
        <v>12453.28</v>
      </c>
      <c r="N231" s="197">
        <v>13344.42</v>
      </c>
      <c r="O231" s="197">
        <v>16893.18</v>
      </c>
      <c r="P231" s="197">
        <v>39537.910000000003</v>
      </c>
      <c r="Q231" s="197">
        <v>35359.379999999997</v>
      </c>
      <c r="R231" s="197">
        <v>42605.95</v>
      </c>
      <c r="S231" s="197">
        <v>25515.119999999999</v>
      </c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234">
        <f t="shared" si="122"/>
        <v>1591978.8599999999</v>
      </c>
      <c r="AF231" s="234"/>
      <c r="AG231" s="235"/>
    </row>
    <row r="232" spans="1:33" s="189" customFormat="1" x14ac:dyDescent="0.25">
      <c r="A232" s="177" t="s">
        <v>2364</v>
      </c>
      <c r="B232" s="178" t="s">
        <v>64</v>
      </c>
      <c r="C232" s="179" t="s">
        <v>38</v>
      </c>
      <c r="D232" s="198">
        <f>D229+D230-D231</f>
        <v>76687.640000000014</v>
      </c>
      <c r="E232" s="197">
        <f t="shared" ref="E232" si="123">E229+E230-E231</f>
        <v>55515.399999999994</v>
      </c>
      <c r="F232" s="197">
        <f t="shared" ref="F232" si="124">F229+F230-F231</f>
        <v>32874.850000000006</v>
      </c>
      <c r="G232" s="197">
        <f t="shared" ref="G232" si="125">G229+G230-G231</f>
        <v>56704.87</v>
      </c>
      <c r="H232" s="197">
        <f t="shared" ref="H232" si="126">H229+H230-H231</f>
        <v>97992.609999999986</v>
      </c>
      <c r="I232" s="197">
        <f t="shared" ref="I232" si="127">I229+I230-I231</f>
        <v>0</v>
      </c>
      <c r="J232" s="197">
        <f t="shared" ref="J232" si="128">J229+J230-J231</f>
        <v>46823.430000000022</v>
      </c>
      <c r="K232" s="197">
        <f t="shared" ref="K232" si="129">K229+K230-K231</f>
        <v>69559.679999999935</v>
      </c>
      <c r="L232" s="197">
        <f t="shared" ref="L232" si="130">L229+L230-L231</f>
        <v>3632.8499999999985</v>
      </c>
      <c r="M232" s="197">
        <f t="shared" ref="M232" si="131">M229+M230-M231</f>
        <v>958</v>
      </c>
      <c r="N232" s="197">
        <f t="shared" ref="N232" si="132">N229+N230-N231</f>
        <v>801.23999999999978</v>
      </c>
      <c r="O232" s="197">
        <f t="shared" ref="O232" si="133">O229+O230-O231</f>
        <v>1330.2999999999993</v>
      </c>
      <c r="P232" s="197">
        <f t="shared" ref="P232" si="134">P229+P230-P231</f>
        <v>5639.3699999999953</v>
      </c>
      <c r="Q232" s="197">
        <f t="shared" ref="Q232" si="135">Q229+Q230-Q231</f>
        <v>11921.159999999996</v>
      </c>
      <c r="R232" s="197">
        <f t="shared" ref="R232" si="136">R229+R230-R231</f>
        <v>1514.3000000000029</v>
      </c>
      <c r="S232" s="197">
        <f t="shared" ref="S232" si="137">S229+S230-S231</f>
        <v>24251.930000000004</v>
      </c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234">
        <f t="shared" si="122"/>
        <v>486207.62999999989</v>
      </c>
      <c r="AF232" s="234"/>
      <c r="AG232" s="235"/>
    </row>
    <row r="233" spans="1:33" s="189" customFormat="1" ht="25.5" x14ac:dyDescent="0.25">
      <c r="A233" s="177" t="s">
        <v>2365</v>
      </c>
      <c r="B233" s="178" t="s">
        <v>65</v>
      </c>
      <c r="C233" s="179" t="s">
        <v>38</v>
      </c>
      <c r="D233" s="197">
        <v>328066.18</v>
      </c>
      <c r="E233" s="197">
        <v>175903.84</v>
      </c>
      <c r="F233" s="197">
        <v>72153.38</v>
      </c>
      <c r="G233" s="197">
        <v>71035.11</v>
      </c>
      <c r="H233" s="197">
        <v>204490</v>
      </c>
      <c r="I233" s="197">
        <v>0</v>
      </c>
      <c r="J233" s="197">
        <v>202617.27</v>
      </c>
      <c r="K233" s="197">
        <v>164295.09</v>
      </c>
      <c r="L233" s="197">
        <v>33650.46</v>
      </c>
      <c r="M233" s="197">
        <v>6580.98</v>
      </c>
      <c r="N233" s="197">
        <v>6537.96</v>
      </c>
      <c r="O233" s="197">
        <v>9140.2199999999993</v>
      </c>
      <c r="P233" s="197">
        <v>82787.19</v>
      </c>
      <c r="Q233" s="197">
        <v>23664.33</v>
      </c>
      <c r="R233" s="197">
        <v>22796.82</v>
      </c>
      <c r="S233" s="197">
        <v>9577.5300000000007</v>
      </c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238">
        <f t="shared" si="122"/>
        <v>1413296.36</v>
      </c>
      <c r="AF233" s="234"/>
      <c r="AG233" s="238"/>
    </row>
    <row r="234" spans="1:33" s="189" customFormat="1" ht="25.5" x14ac:dyDescent="0.25">
      <c r="A234" s="177" t="s">
        <v>2366</v>
      </c>
      <c r="B234" s="178" t="s">
        <v>66</v>
      </c>
      <c r="C234" s="179" t="s">
        <v>38</v>
      </c>
      <c r="D234" s="197">
        <f>1560127.78*0.76/$AE$233*D233</f>
        <v>275233.93779442343</v>
      </c>
      <c r="E234" s="197">
        <f t="shared" ref="E234:S234" si="138">1560127.78*0.76/$AE$233*E233</f>
        <v>147576.03650690301</v>
      </c>
      <c r="F234" s="197">
        <f t="shared" si="138"/>
        <v>60533.697507549841</v>
      </c>
      <c r="G234" s="197">
        <f t="shared" si="138"/>
        <v>59595.515291945143</v>
      </c>
      <c r="H234" s="197">
        <f t="shared" si="138"/>
        <v>171558.64081930558</v>
      </c>
      <c r="I234" s="197">
        <f t="shared" si="138"/>
        <v>0</v>
      </c>
      <c r="J234" s="197">
        <f t="shared" si="138"/>
        <v>169987.49791050056</v>
      </c>
      <c r="K234" s="197">
        <f t="shared" si="138"/>
        <v>137836.77604619044</v>
      </c>
      <c r="L234" s="197">
        <f t="shared" si="138"/>
        <v>28231.342268787761</v>
      </c>
      <c r="M234" s="197">
        <f t="shared" si="138"/>
        <v>5521.1696613968097</v>
      </c>
      <c r="N234" s="197">
        <f t="shared" si="138"/>
        <v>5485.0776631179378</v>
      </c>
      <c r="O234" s="197">
        <f t="shared" si="138"/>
        <v>7668.2660276269407</v>
      </c>
      <c r="P234" s="197">
        <f t="shared" si="138"/>
        <v>69455.023686486413</v>
      </c>
      <c r="Q234" s="197">
        <f t="shared" si="138"/>
        <v>19853.392785463922</v>
      </c>
      <c r="R234" s="197">
        <f t="shared" si="138"/>
        <v>19125.58782435504</v>
      </c>
      <c r="S234" s="197">
        <f t="shared" si="138"/>
        <v>8035.1510059471066</v>
      </c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238">
        <f t="shared" si="122"/>
        <v>1185697.1128</v>
      </c>
      <c r="AF234" s="234"/>
      <c r="AG234" s="238"/>
    </row>
    <row r="235" spans="1:33" s="189" customFormat="1" ht="25.5" x14ac:dyDescent="0.25">
      <c r="A235" s="177" t="s">
        <v>2367</v>
      </c>
      <c r="B235" s="178" t="s">
        <v>67</v>
      </c>
      <c r="C235" s="179" t="s">
        <v>38</v>
      </c>
      <c r="D235" s="197">
        <f>565036.78*0.76/$AE$233*D233</f>
        <v>99682.410602342672</v>
      </c>
      <c r="E235" s="197">
        <f t="shared" ref="E235:S235" si="139">565036.78*0.76/$AE$233*E233</f>
        <v>53448.114662135515</v>
      </c>
      <c r="F235" s="197">
        <f t="shared" si="139"/>
        <v>21923.694943218045</v>
      </c>
      <c r="G235" s="197">
        <f t="shared" si="139"/>
        <v>21583.910301886583</v>
      </c>
      <c r="H235" s="197">
        <f t="shared" si="139"/>
        <v>62133.97596812038</v>
      </c>
      <c r="I235" s="197">
        <f t="shared" si="139"/>
        <v>0</v>
      </c>
      <c r="J235" s="197">
        <f t="shared" si="139"/>
        <v>61564.949801487397</v>
      </c>
      <c r="K235" s="197">
        <f t="shared" si="139"/>
        <v>49920.81360330664</v>
      </c>
      <c r="L235" s="197">
        <f t="shared" si="139"/>
        <v>10224.641170503184</v>
      </c>
      <c r="M235" s="197">
        <f t="shared" si="139"/>
        <v>1999.6207793372821</v>
      </c>
      <c r="N235" s="197">
        <f t="shared" si="139"/>
        <v>1986.5492176660584</v>
      </c>
      <c r="O235" s="197">
        <f t="shared" si="139"/>
        <v>2777.2419669584488</v>
      </c>
      <c r="P235" s="197">
        <f t="shared" si="139"/>
        <v>25154.761963559176</v>
      </c>
      <c r="Q235" s="197">
        <f t="shared" si="139"/>
        <v>7190.3707346162173</v>
      </c>
      <c r="R235" s="197">
        <f t="shared" si="139"/>
        <v>6926.7791384887569</v>
      </c>
      <c r="S235" s="197">
        <f t="shared" si="139"/>
        <v>2910.1179463736712</v>
      </c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234">
        <f t="shared" si="122"/>
        <v>429427.95280000003</v>
      </c>
      <c r="AF235" s="234"/>
      <c r="AG235" s="235"/>
    </row>
    <row r="236" spans="1:33" s="189" customFormat="1" ht="38.25" x14ac:dyDescent="0.25">
      <c r="A236" s="177" t="s">
        <v>2368</v>
      </c>
      <c r="B236" s="178" t="s">
        <v>68</v>
      </c>
      <c r="C236" s="179" t="s">
        <v>38</v>
      </c>
      <c r="D236" s="198">
        <v>0</v>
      </c>
      <c r="E236" s="198">
        <v>0</v>
      </c>
      <c r="F236" s="198">
        <v>0</v>
      </c>
      <c r="G236" s="198">
        <v>0</v>
      </c>
      <c r="H236" s="198">
        <v>0</v>
      </c>
      <c r="I236" s="198">
        <v>0</v>
      </c>
      <c r="J236" s="198">
        <v>0</v>
      </c>
      <c r="K236" s="198">
        <v>0</v>
      </c>
      <c r="L236" s="198">
        <v>0</v>
      </c>
      <c r="M236" s="198">
        <v>0</v>
      </c>
      <c r="N236" s="198">
        <v>0</v>
      </c>
      <c r="O236" s="198">
        <v>0</v>
      </c>
      <c r="P236" s="198">
        <v>0</v>
      </c>
      <c r="Q236" s="198">
        <v>0</v>
      </c>
      <c r="R236" s="198">
        <v>0</v>
      </c>
      <c r="S236" s="198">
        <v>0</v>
      </c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234">
        <f t="shared" si="122"/>
        <v>0</v>
      </c>
      <c r="AF236" s="234"/>
      <c r="AG236" s="235"/>
    </row>
    <row r="237" spans="1:33" s="189" customFormat="1" ht="42" customHeight="1" x14ac:dyDescent="0.25">
      <c r="A237" s="219" t="s">
        <v>128</v>
      </c>
      <c r="B237" s="219"/>
      <c r="C237" s="219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234"/>
      <c r="AF237" s="234"/>
      <c r="AG237" s="235"/>
    </row>
    <row r="238" spans="1:33" s="189" customFormat="1" x14ac:dyDescent="0.25">
      <c r="A238" s="177" t="s">
        <v>69</v>
      </c>
      <c r="B238" s="178" t="s">
        <v>56</v>
      </c>
      <c r="C238" s="179" t="s">
        <v>29</v>
      </c>
      <c r="D238" s="198">
        <v>0</v>
      </c>
      <c r="E238" s="198">
        <v>0</v>
      </c>
      <c r="F238" s="198">
        <v>0</v>
      </c>
      <c r="G238" s="198">
        <v>0</v>
      </c>
      <c r="H238" s="198">
        <v>0</v>
      </c>
      <c r="I238" s="198">
        <v>0</v>
      </c>
      <c r="J238" s="198">
        <v>0</v>
      </c>
      <c r="K238" s="198">
        <v>0</v>
      </c>
      <c r="L238" s="198">
        <v>0</v>
      </c>
      <c r="M238" s="198">
        <v>0</v>
      </c>
      <c r="N238" s="198">
        <v>0</v>
      </c>
      <c r="O238" s="198">
        <v>0</v>
      </c>
      <c r="P238" s="198">
        <v>0</v>
      </c>
      <c r="Q238" s="198">
        <v>0</v>
      </c>
      <c r="R238" s="198">
        <v>0</v>
      </c>
      <c r="S238" s="198">
        <v>0</v>
      </c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234">
        <f t="shared" ref="AE238:AE241" si="140">SUM(D238:S238)</f>
        <v>0</v>
      </c>
      <c r="AF238" s="234"/>
      <c r="AG238" s="235"/>
    </row>
    <row r="239" spans="1:33" s="189" customFormat="1" x14ac:dyDescent="0.25">
      <c r="A239" s="177" t="s">
        <v>70</v>
      </c>
      <c r="B239" s="178" t="s">
        <v>57</v>
      </c>
      <c r="C239" s="179" t="s">
        <v>29</v>
      </c>
      <c r="D239" s="198">
        <v>0</v>
      </c>
      <c r="E239" s="198">
        <v>0</v>
      </c>
      <c r="F239" s="198">
        <v>0</v>
      </c>
      <c r="G239" s="198">
        <v>0</v>
      </c>
      <c r="H239" s="198">
        <v>0</v>
      </c>
      <c r="I239" s="198">
        <v>0</v>
      </c>
      <c r="J239" s="198">
        <v>0</v>
      </c>
      <c r="K239" s="198">
        <v>0</v>
      </c>
      <c r="L239" s="198">
        <v>0</v>
      </c>
      <c r="M239" s="198">
        <v>0</v>
      </c>
      <c r="N239" s="198">
        <v>0</v>
      </c>
      <c r="O239" s="198">
        <v>0</v>
      </c>
      <c r="P239" s="198">
        <v>0</v>
      </c>
      <c r="Q239" s="198">
        <v>0</v>
      </c>
      <c r="R239" s="198">
        <v>0</v>
      </c>
      <c r="S239" s="198">
        <v>0</v>
      </c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234">
        <f t="shared" si="140"/>
        <v>0</v>
      </c>
      <c r="AF239" s="234"/>
      <c r="AG239" s="235"/>
    </row>
    <row r="240" spans="1:33" s="189" customFormat="1" ht="25.5" x14ac:dyDescent="0.25">
      <c r="A240" s="177" t="s">
        <v>71</v>
      </c>
      <c r="B240" s="178" t="s">
        <v>58</v>
      </c>
      <c r="C240" s="179" t="s">
        <v>29</v>
      </c>
      <c r="D240" s="198">
        <v>0</v>
      </c>
      <c r="E240" s="198">
        <v>0</v>
      </c>
      <c r="F240" s="198">
        <v>0</v>
      </c>
      <c r="G240" s="198">
        <v>0</v>
      </c>
      <c r="H240" s="198">
        <v>0</v>
      </c>
      <c r="I240" s="198">
        <v>0</v>
      </c>
      <c r="J240" s="198">
        <v>0</v>
      </c>
      <c r="K240" s="198">
        <v>0</v>
      </c>
      <c r="L240" s="198">
        <v>0</v>
      </c>
      <c r="M240" s="198">
        <v>0</v>
      </c>
      <c r="N240" s="198">
        <v>0</v>
      </c>
      <c r="O240" s="198">
        <v>0</v>
      </c>
      <c r="P240" s="198">
        <v>0</v>
      </c>
      <c r="Q240" s="198">
        <v>0</v>
      </c>
      <c r="R240" s="198">
        <v>0</v>
      </c>
      <c r="S240" s="198">
        <v>0</v>
      </c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234">
        <f t="shared" si="140"/>
        <v>0</v>
      </c>
      <c r="AF240" s="234"/>
      <c r="AG240" s="235"/>
    </row>
    <row r="241" spans="1:33" s="189" customFormat="1" x14ac:dyDescent="0.25">
      <c r="A241" s="177" t="s">
        <v>72</v>
      </c>
      <c r="B241" s="178" t="s">
        <v>59</v>
      </c>
      <c r="C241" s="179" t="s">
        <v>38</v>
      </c>
      <c r="D241" s="198">
        <v>0</v>
      </c>
      <c r="E241" s="198">
        <v>0</v>
      </c>
      <c r="F241" s="198">
        <v>0</v>
      </c>
      <c r="G241" s="198">
        <v>0</v>
      </c>
      <c r="H241" s="198">
        <v>0</v>
      </c>
      <c r="I241" s="198">
        <v>0</v>
      </c>
      <c r="J241" s="198">
        <v>0</v>
      </c>
      <c r="K241" s="198">
        <v>0</v>
      </c>
      <c r="L241" s="198">
        <v>0</v>
      </c>
      <c r="M241" s="198">
        <v>0</v>
      </c>
      <c r="N241" s="198">
        <v>0</v>
      </c>
      <c r="O241" s="198">
        <v>0</v>
      </c>
      <c r="P241" s="198">
        <v>0</v>
      </c>
      <c r="Q241" s="198">
        <v>0</v>
      </c>
      <c r="R241" s="198">
        <v>0</v>
      </c>
      <c r="S241" s="198">
        <v>0</v>
      </c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234">
        <f t="shared" si="140"/>
        <v>0</v>
      </c>
      <c r="AF241" s="234"/>
      <c r="AG241" s="235"/>
    </row>
    <row r="242" spans="1:33" s="189" customFormat="1" ht="37.5" customHeight="1" x14ac:dyDescent="0.25">
      <c r="A242" s="219" t="s">
        <v>139</v>
      </c>
      <c r="B242" s="219"/>
      <c r="C242" s="219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234"/>
      <c r="AF242" s="234"/>
      <c r="AG242" s="235"/>
    </row>
    <row r="243" spans="1:33" ht="25.5" x14ac:dyDescent="0.25">
      <c r="A243" s="177" t="s">
        <v>140</v>
      </c>
      <c r="B243" s="178" t="s">
        <v>141</v>
      </c>
      <c r="C243" s="200" t="s">
        <v>29</v>
      </c>
      <c r="D243" s="198">
        <v>32</v>
      </c>
      <c r="E243" s="198">
        <v>45</v>
      </c>
      <c r="F243" s="198">
        <v>0</v>
      </c>
      <c r="G243" s="198">
        <v>4</v>
      </c>
      <c r="H243" s="198">
        <v>1</v>
      </c>
      <c r="I243" s="198">
        <v>0</v>
      </c>
      <c r="J243" s="198">
        <v>26</v>
      </c>
      <c r="K243" s="198">
        <v>25</v>
      </c>
      <c r="L243" s="198">
        <v>2</v>
      </c>
      <c r="M243" s="198">
        <v>0</v>
      </c>
      <c r="N243" s="198">
        <v>0</v>
      </c>
      <c r="O243" s="198">
        <v>0</v>
      </c>
      <c r="P243" s="198">
        <v>1</v>
      </c>
      <c r="Q243" s="198">
        <v>0</v>
      </c>
      <c r="R243" s="198">
        <v>0</v>
      </c>
      <c r="S243" s="198">
        <v>2</v>
      </c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229">
        <f t="shared" ref="AE243:AE245" si="141">SUM(D243:S243)</f>
        <v>138</v>
      </c>
    </row>
    <row r="244" spans="1:33" x14ac:dyDescent="0.25">
      <c r="A244" s="177" t="s">
        <v>142</v>
      </c>
      <c r="B244" s="178" t="s">
        <v>143</v>
      </c>
      <c r="C244" s="200" t="s">
        <v>29</v>
      </c>
      <c r="D244" s="198">
        <v>27</v>
      </c>
      <c r="E244" s="198">
        <v>37</v>
      </c>
      <c r="F244" s="198">
        <v>0</v>
      </c>
      <c r="G244" s="198">
        <v>4</v>
      </c>
      <c r="H244" s="198">
        <v>1</v>
      </c>
      <c r="I244" s="198">
        <v>0</v>
      </c>
      <c r="J244" s="198">
        <v>22</v>
      </c>
      <c r="K244" s="198">
        <v>22</v>
      </c>
      <c r="L244" s="198">
        <v>1</v>
      </c>
      <c r="M244" s="198">
        <v>0</v>
      </c>
      <c r="N244" s="198">
        <v>0</v>
      </c>
      <c r="O244" s="198">
        <v>0</v>
      </c>
      <c r="P244" s="198">
        <v>1</v>
      </c>
      <c r="Q244" s="198">
        <v>0</v>
      </c>
      <c r="R244" s="198">
        <v>0</v>
      </c>
      <c r="S244" s="198">
        <v>2</v>
      </c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229">
        <f t="shared" si="141"/>
        <v>117</v>
      </c>
    </row>
    <row r="245" spans="1:33" ht="25.5" x14ac:dyDescent="0.25">
      <c r="A245" s="181" t="s">
        <v>144</v>
      </c>
      <c r="B245" s="178" t="s">
        <v>145</v>
      </c>
      <c r="C245" s="200" t="s">
        <v>38</v>
      </c>
      <c r="D245" s="198">
        <v>445678.96</v>
      </c>
      <c r="E245" s="198">
        <v>562425.25</v>
      </c>
      <c r="F245" s="198">
        <v>0</v>
      </c>
      <c r="G245" s="198">
        <v>7999.72</v>
      </c>
      <c r="H245" s="198">
        <v>5546.79</v>
      </c>
      <c r="I245" s="198">
        <v>0</v>
      </c>
      <c r="J245" s="198">
        <v>368055.43</v>
      </c>
      <c r="K245" s="198">
        <v>326903.21999999997</v>
      </c>
      <c r="L245" s="198">
        <v>32280.35</v>
      </c>
      <c r="M245" s="198">
        <v>0</v>
      </c>
      <c r="N245" s="198">
        <v>0</v>
      </c>
      <c r="O245" s="198">
        <v>0</v>
      </c>
      <c r="P245" s="198">
        <v>37015.49</v>
      </c>
      <c r="Q245" s="198">
        <v>0</v>
      </c>
      <c r="R245" s="198">
        <v>0</v>
      </c>
      <c r="S245" s="198">
        <v>39755.57</v>
      </c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229">
        <f t="shared" si="141"/>
        <v>1825660.78</v>
      </c>
    </row>
  </sheetData>
  <autoFilter ref="A3:AG3" xr:uid="{00000000-0009-0000-0000-000001000000}">
    <filterColumn colId="0" showButton="0"/>
    <filterColumn colId="1" showButton="0"/>
  </autoFilter>
  <mergeCells count="10">
    <mergeCell ref="A152:C152"/>
    <mergeCell ref="A159:C159"/>
    <mergeCell ref="A237:C237"/>
    <mergeCell ref="A242:C242"/>
    <mergeCell ref="A1:C1"/>
    <mergeCell ref="A2:C2"/>
    <mergeCell ref="A3:C3"/>
    <mergeCell ref="A8:C8"/>
    <mergeCell ref="A26:C26"/>
    <mergeCell ref="A147:C147"/>
  </mergeCells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12" sqref="E212"/>
    </sheetView>
  </sheetViews>
  <sheetFormatPr defaultRowHeight="15.75" outlineLevelRow="1" x14ac:dyDescent="0.25"/>
  <cols>
    <col min="3" max="3" width="12.25" customWidth="1"/>
    <col min="4" max="4" width="10" customWidth="1"/>
    <col min="5" max="5" width="11.75" customWidth="1"/>
    <col min="6" max="6" width="12.25" customWidth="1"/>
    <col min="7" max="7" width="9.125" bestFit="1" customWidth="1"/>
    <col min="8" max="8" width="11" customWidth="1"/>
    <col min="9" max="9" width="11.25" customWidth="1"/>
    <col min="10" max="11" width="11.125" customWidth="1"/>
    <col min="12" max="12" width="10.875" customWidth="1"/>
  </cols>
  <sheetData>
    <row r="1" spans="1:13" x14ac:dyDescent="0.25">
      <c r="C1" s="225" t="s">
        <v>2333</v>
      </c>
      <c r="D1" s="225"/>
      <c r="K1" s="225" t="s">
        <v>2342</v>
      </c>
      <c r="L1" s="225"/>
    </row>
    <row r="2" spans="1:13" ht="31.5" x14ac:dyDescent="0.25">
      <c r="C2" t="s">
        <v>2334</v>
      </c>
      <c r="D2" t="s">
        <v>2335</v>
      </c>
      <c r="E2" s="207" t="s">
        <v>2336</v>
      </c>
      <c r="F2" s="208" t="s">
        <v>2337</v>
      </c>
      <c r="G2" s="208" t="s">
        <v>2338</v>
      </c>
      <c r="H2" s="208" t="s">
        <v>2339</v>
      </c>
      <c r="I2" s="209" t="s">
        <v>2340</v>
      </c>
      <c r="J2" s="208" t="s">
        <v>2341</v>
      </c>
      <c r="K2" t="s">
        <v>2334</v>
      </c>
      <c r="L2" t="s">
        <v>2335</v>
      </c>
    </row>
    <row r="3" spans="1:13" s="46" customFormat="1" x14ac:dyDescent="0.25">
      <c r="A3" s="46" t="s">
        <v>2348</v>
      </c>
      <c r="E3" s="212"/>
      <c r="F3" s="209"/>
      <c r="G3" s="209"/>
      <c r="H3" s="209"/>
      <c r="I3" s="209"/>
      <c r="J3" s="209"/>
    </row>
    <row r="4" spans="1:13" s="46" customFormat="1" x14ac:dyDescent="0.25">
      <c r="A4" s="46" t="s">
        <v>2332</v>
      </c>
      <c r="C4" s="211">
        <f>C5</f>
        <v>948593.7</v>
      </c>
      <c r="D4" s="211">
        <f>D5</f>
        <v>15023.95</v>
      </c>
      <c r="E4" s="211">
        <f>SUM(E5:E16)</f>
        <v>5510650.6699999999</v>
      </c>
      <c r="F4" s="211">
        <f t="shared" ref="F4:J4" si="0">SUM(F5:F16)</f>
        <v>-64160.359999999993</v>
      </c>
      <c r="G4" s="211">
        <f t="shared" si="0"/>
        <v>0</v>
      </c>
      <c r="H4" s="211">
        <f t="shared" si="0"/>
        <v>0</v>
      </c>
      <c r="I4" s="211">
        <f t="shared" si="0"/>
        <v>5446490.3099999996</v>
      </c>
      <c r="J4" s="211">
        <f t="shared" si="0"/>
        <v>5247119.78</v>
      </c>
      <c r="K4" s="211">
        <f>K16</f>
        <v>1176237.08</v>
      </c>
      <c r="L4" s="211">
        <f>L16</f>
        <v>43296.800000000003</v>
      </c>
    </row>
    <row r="5" spans="1:13" hidden="1" outlineLevel="1" x14ac:dyDescent="0.25">
      <c r="B5" s="210">
        <v>43831</v>
      </c>
      <c r="C5" s="211">
        <v>948593.7</v>
      </c>
      <c r="D5" s="211">
        <v>15023.95</v>
      </c>
      <c r="E5" s="47">
        <v>662334.28</v>
      </c>
      <c r="F5" s="47">
        <v>19980.82</v>
      </c>
      <c r="G5" s="47">
        <v>0</v>
      </c>
      <c r="H5" s="47">
        <v>0</v>
      </c>
      <c r="I5" s="47">
        <f>E5+F5</f>
        <v>682315.1</v>
      </c>
      <c r="J5" s="47">
        <v>274203.38</v>
      </c>
      <c r="K5" s="47">
        <v>1346696.43</v>
      </c>
      <c r="L5" s="47">
        <v>5014.96</v>
      </c>
      <c r="M5" t="b">
        <f>C5-D5+I5-J5=K5-L5</f>
        <v>1</v>
      </c>
    </row>
    <row r="6" spans="1:13" hidden="1" outlineLevel="1" x14ac:dyDescent="0.25">
      <c r="B6" s="210">
        <v>43862</v>
      </c>
      <c r="C6" s="47">
        <f>K5</f>
        <v>1346696.43</v>
      </c>
      <c r="D6" s="47">
        <f>L5</f>
        <v>5014.96</v>
      </c>
      <c r="E6" s="47">
        <v>564278.86</v>
      </c>
      <c r="F6" s="47">
        <v>-5274.39</v>
      </c>
      <c r="G6" s="47">
        <v>0</v>
      </c>
      <c r="H6" s="47">
        <v>0</v>
      </c>
      <c r="I6" s="47">
        <f t="shared" ref="I6:I16" si="1">E6+F6</f>
        <v>559004.47</v>
      </c>
      <c r="J6" s="47">
        <v>581724.94999999995</v>
      </c>
      <c r="K6" s="47">
        <v>1330311.5900000001</v>
      </c>
      <c r="L6" s="47">
        <v>11350.6</v>
      </c>
      <c r="M6" t="b">
        <f t="shared" ref="M6:M16" si="2">C6-D6+I6-J6=K6-L6</f>
        <v>1</v>
      </c>
    </row>
    <row r="7" spans="1:13" hidden="1" outlineLevel="1" x14ac:dyDescent="0.25">
      <c r="B7" s="210">
        <v>43891</v>
      </c>
      <c r="C7" s="47">
        <f t="shared" ref="C7:C16" si="3">K6</f>
        <v>1330311.5900000001</v>
      </c>
      <c r="D7" s="47">
        <f t="shared" ref="D7:D16" si="4">L6</f>
        <v>11350.6</v>
      </c>
      <c r="E7" s="47">
        <v>527575.53</v>
      </c>
      <c r="F7" s="47">
        <v>-3626.26</v>
      </c>
      <c r="G7" s="47">
        <v>0</v>
      </c>
      <c r="H7" s="47">
        <v>0</v>
      </c>
      <c r="I7" s="47">
        <f t="shared" si="1"/>
        <v>523949.27</v>
      </c>
      <c r="J7" s="47">
        <v>547273.27</v>
      </c>
      <c r="K7" s="47">
        <v>1308233.1399999999</v>
      </c>
      <c r="L7" s="47">
        <v>12596.15</v>
      </c>
      <c r="M7" t="b">
        <f t="shared" si="2"/>
        <v>1</v>
      </c>
    </row>
    <row r="8" spans="1:13" hidden="1" outlineLevel="1" x14ac:dyDescent="0.25">
      <c r="B8" s="210">
        <v>43922</v>
      </c>
      <c r="C8" s="47">
        <f t="shared" si="3"/>
        <v>1308233.1399999999</v>
      </c>
      <c r="D8" s="47">
        <f t="shared" si="4"/>
        <v>12596.15</v>
      </c>
      <c r="E8" s="47">
        <v>531720.79</v>
      </c>
      <c r="F8" s="47">
        <v>-5728.35</v>
      </c>
      <c r="G8" s="47">
        <v>0</v>
      </c>
      <c r="H8" s="47">
        <v>0</v>
      </c>
      <c r="I8" s="47">
        <f t="shared" si="1"/>
        <v>525992.44000000006</v>
      </c>
      <c r="J8" s="47">
        <v>500482.77</v>
      </c>
      <c r="K8" s="47">
        <v>1339550.99</v>
      </c>
      <c r="L8" s="47">
        <v>18404.330000000002</v>
      </c>
      <c r="M8" t="b">
        <f t="shared" si="2"/>
        <v>1</v>
      </c>
    </row>
    <row r="9" spans="1:13" hidden="1" outlineLevel="1" x14ac:dyDescent="0.25">
      <c r="B9" s="210">
        <v>43952</v>
      </c>
      <c r="C9" s="47">
        <f t="shared" si="3"/>
        <v>1339550.99</v>
      </c>
      <c r="D9" s="47">
        <f t="shared" si="4"/>
        <v>18404.330000000002</v>
      </c>
      <c r="E9" s="47">
        <v>429065.14</v>
      </c>
      <c r="F9" s="47">
        <v>0</v>
      </c>
      <c r="G9" s="47">
        <v>0</v>
      </c>
      <c r="H9" s="47">
        <v>0</v>
      </c>
      <c r="I9" s="47">
        <f t="shared" si="1"/>
        <v>429065.14</v>
      </c>
      <c r="J9" s="47">
        <v>443251.63</v>
      </c>
      <c r="K9" s="47">
        <v>1333405.05</v>
      </c>
      <c r="L9" s="47">
        <v>26444.880000000001</v>
      </c>
      <c r="M9" t="b">
        <f t="shared" si="2"/>
        <v>1</v>
      </c>
    </row>
    <row r="10" spans="1:13" hidden="1" outlineLevel="1" x14ac:dyDescent="0.25">
      <c r="B10" s="210">
        <v>43983</v>
      </c>
      <c r="C10" s="47">
        <f t="shared" si="3"/>
        <v>1333405.05</v>
      </c>
      <c r="D10" s="47">
        <f t="shared" si="4"/>
        <v>26444.880000000001</v>
      </c>
      <c r="E10" s="47">
        <v>354958.48</v>
      </c>
      <c r="F10" s="47">
        <v>-884.03</v>
      </c>
      <c r="G10" s="47">
        <v>0</v>
      </c>
      <c r="H10" s="47">
        <v>0</v>
      </c>
      <c r="I10" s="47">
        <f t="shared" si="1"/>
        <v>354074.44999999995</v>
      </c>
      <c r="J10" s="47">
        <v>426109.82</v>
      </c>
      <c r="K10" s="47">
        <v>1263521.1399999999</v>
      </c>
      <c r="L10" s="47">
        <v>28596.34</v>
      </c>
      <c r="M10" t="b">
        <f t="shared" si="2"/>
        <v>1</v>
      </c>
    </row>
    <row r="11" spans="1:13" hidden="1" outlineLevel="1" x14ac:dyDescent="0.25">
      <c r="B11" s="210">
        <v>44013</v>
      </c>
      <c r="C11" s="47">
        <f t="shared" si="3"/>
        <v>1263521.1399999999</v>
      </c>
      <c r="D11" s="47">
        <f t="shared" si="4"/>
        <v>28596.34</v>
      </c>
      <c r="E11" s="47">
        <v>346812.82</v>
      </c>
      <c r="F11" s="47">
        <v>0</v>
      </c>
      <c r="G11" s="47">
        <v>0</v>
      </c>
      <c r="H11" s="47">
        <v>0</v>
      </c>
      <c r="I11" s="47">
        <f t="shared" si="1"/>
        <v>346812.82</v>
      </c>
      <c r="J11" s="47">
        <v>354206.42</v>
      </c>
      <c r="K11" s="47">
        <v>1254302.5900000001</v>
      </c>
      <c r="L11" s="47">
        <v>26771.39</v>
      </c>
      <c r="M11" t="b">
        <f t="shared" si="2"/>
        <v>1</v>
      </c>
    </row>
    <row r="12" spans="1:13" hidden="1" outlineLevel="1" x14ac:dyDescent="0.25">
      <c r="B12" s="210">
        <v>44044</v>
      </c>
      <c r="C12" s="47">
        <f t="shared" si="3"/>
        <v>1254302.5900000001</v>
      </c>
      <c r="D12" s="47">
        <f t="shared" si="4"/>
        <v>26771.39</v>
      </c>
      <c r="E12" s="47">
        <v>339813.75</v>
      </c>
      <c r="F12" s="47">
        <v>-33289.379999999997</v>
      </c>
      <c r="G12" s="47">
        <v>0</v>
      </c>
      <c r="H12" s="47">
        <v>0</v>
      </c>
      <c r="I12" s="47">
        <f t="shared" si="1"/>
        <v>306524.37</v>
      </c>
      <c r="J12" s="47">
        <v>439072.71</v>
      </c>
      <c r="K12" s="47">
        <v>1158421.8999999999</v>
      </c>
      <c r="L12" s="47">
        <v>63439.040000000001</v>
      </c>
      <c r="M12" t="b">
        <f t="shared" si="2"/>
        <v>1</v>
      </c>
    </row>
    <row r="13" spans="1:13" hidden="1" outlineLevel="1" x14ac:dyDescent="0.25">
      <c r="B13" s="210">
        <v>44075</v>
      </c>
      <c r="C13" s="47">
        <f t="shared" si="3"/>
        <v>1158421.8999999999</v>
      </c>
      <c r="D13" s="47">
        <f t="shared" si="4"/>
        <v>63439.040000000001</v>
      </c>
      <c r="E13" s="47">
        <v>339791.3</v>
      </c>
      <c r="F13" s="47">
        <v>-3981.75</v>
      </c>
      <c r="G13" s="47">
        <v>0</v>
      </c>
      <c r="H13" s="47">
        <v>0</v>
      </c>
      <c r="I13" s="47">
        <f t="shared" si="1"/>
        <v>335809.55</v>
      </c>
      <c r="J13" s="47">
        <v>312409.11</v>
      </c>
      <c r="K13" s="47">
        <v>1187708.5</v>
      </c>
      <c r="L13" s="47">
        <v>69325.2</v>
      </c>
      <c r="M13" t="b">
        <f t="shared" si="2"/>
        <v>1</v>
      </c>
    </row>
    <row r="14" spans="1:13" hidden="1" outlineLevel="1" x14ac:dyDescent="0.25">
      <c r="B14" s="210">
        <v>44105</v>
      </c>
      <c r="C14" s="47">
        <f t="shared" si="3"/>
        <v>1187708.5</v>
      </c>
      <c r="D14" s="47">
        <f t="shared" si="4"/>
        <v>69325.2</v>
      </c>
      <c r="E14" s="47">
        <v>363881.96</v>
      </c>
      <c r="F14" s="47">
        <v>-2733.56</v>
      </c>
      <c r="G14" s="47">
        <v>0</v>
      </c>
      <c r="H14" s="47">
        <v>0</v>
      </c>
      <c r="I14" s="47">
        <f t="shared" si="1"/>
        <v>361148.4</v>
      </c>
      <c r="J14" s="47">
        <v>372694.16</v>
      </c>
      <c r="K14" s="47">
        <v>1143256.21</v>
      </c>
      <c r="L14" s="47">
        <v>36418.67</v>
      </c>
      <c r="M14" t="b">
        <f t="shared" si="2"/>
        <v>1</v>
      </c>
    </row>
    <row r="15" spans="1:13" hidden="1" outlineLevel="1" x14ac:dyDescent="0.25">
      <c r="B15" s="210">
        <v>44136</v>
      </c>
      <c r="C15" s="47">
        <f t="shared" si="3"/>
        <v>1143256.21</v>
      </c>
      <c r="D15" s="47">
        <f t="shared" si="4"/>
        <v>36418.67</v>
      </c>
      <c r="E15" s="47">
        <v>559970.35</v>
      </c>
      <c r="F15" s="47">
        <v>-334.25</v>
      </c>
      <c r="G15" s="47">
        <v>0</v>
      </c>
      <c r="H15" s="47">
        <v>0</v>
      </c>
      <c r="I15" s="47">
        <f t="shared" si="1"/>
        <v>559636.1</v>
      </c>
      <c r="J15" s="47">
        <v>352774.49</v>
      </c>
      <c r="K15" s="47">
        <v>1342986.91</v>
      </c>
      <c r="L15" s="47">
        <v>29287.759999999998</v>
      </c>
      <c r="M15" t="b">
        <f t="shared" si="2"/>
        <v>1</v>
      </c>
    </row>
    <row r="16" spans="1:13" hidden="1" outlineLevel="1" x14ac:dyDescent="0.25">
      <c r="B16" s="210">
        <v>44166</v>
      </c>
      <c r="C16" s="47">
        <f t="shared" si="3"/>
        <v>1342986.91</v>
      </c>
      <c r="D16" s="47">
        <f t="shared" si="4"/>
        <v>29287.759999999998</v>
      </c>
      <c r="E16" s="47">
        <v>490447.41</v>
      </c>
      <c r="F16" s="47">
        <v>-28289.21</v>
      </c>
      <c r="G16" s="47">
        <v>0</v>
      </c>
      <c r="H16" s="47">
        <v>0</v>
      </c>
      <c r="I16" s="47">
        <f t="shared" si="1"/>
        <v>462158.19999999995</v>
      </c>
      <c r="J16" s="47">
        <v>642917.06999999995</v>
      </c>
      <c r="K16" s="211">
        <v>1176237.08</v>
      </c>
      <c r="L16" s="211">
        <v>43296.800000000003</v>
      </c>
      <c r="M16" t="b">
        <f t="shared" si="2"/>
        <v>1</v>
      </c>
    </row>
    <row r="17" spans="1:13" collapsed="1" x14ac:dyDescent="0.25">
      <c r="A17" s="46" t="s">
        <v>2343</v>
      </c>
      <c r="B17" s="46"/>
      <c r="C17" s="211">
        <f>C18</f>
        <v>1078869.23</v>
      </c>
      <c r="D17" s="211">
        <f>D18</f>
        <v>1437.01</v>
      </c>
      <c r="E17" s="211">
        <f>SUM(E18:E29)</f>
        <v>4181736.4600000004</v>
      </c>
      <c r="F17" s="211">
        <f t="shared" ref="F17" si="5">SUM(F18:F29)</f>
        <v>-137699.45000000001</v>
      </c>
      <c r="G17" s="211">
        <f t="shared" ref="G17" si="6">SUM(G18:G29)</f>
        <v>0</v>
      </c>
      <c r="H17" s="211">
        <f t="shared" ref="H17" si="7">SUM(H18:H29)</f>
        <v>0</v>
      </c>
      <c r="I17" s="211">
        <f t="shared" ref="I17" si="8">SUM(I18:I29)</f>
        <v>4044037.0100000002</v>
      </c>
      <c r="J17" s="211">
        <f t="shared" ref="J17" si="9">SUM(J18:J29)</f>
        <v>4046119.95</v>
      </c>
      <c r="K17" s="211">
        <f>K29</f>
        <v>1101556.96</v>
      </c>
      <c r="L17" s="211">
        <f>L29</f>
        <v>26207.68</v>
      </c>
      <c r="M17" s="46"/>
    </row>
    <row r="18" spans="1:13" hidden="1" outlineLevel="1" x14ac:dyDescent="0.25">
      <c r="B18" s="210">
        <v>43831</v>
      </c>
      <c r="C18" s="211">
        <v>1078869.23</v>
      </c>
      <c r="D18" s="211">
        <v>1437.01</v>
      </c>
      <c r="E18" s="47">
        <v>618895.16</v>
      </c>
      <c r="F18" s="47">
        <v>-18341.169999999998</v>
      </c>
      <c r="G18" s="47">
        <v>0</v>
      </c>
      <c r="H18" s="47">
        <v>0</v>
      </c>
      <c r="I18" s="47">
        <f>E18+F18</f>
        <v>600553.99</v>
      </c>
      <c r="J18" s="47">
        <v>303218.65000000002</v>
      </c>
      <c r="K18" s="47">
        <v>1382834.15</v>
      </c>
      <c r="L18" s="47">
        <v>8066.59</v>
      </c>
      <c r="M18" t="b">
        <f>C18-D18+I18-J18=K18-L18</f>
        <v>1</v>
      </c>
    </row>
    <row r="19" spans="1:13" hidden="1" outlineLevel="1" x14ac:dyDescent="0.25">
      <c r="B19" s="210">
        <v>43862</v>
      </c>
      <c r="C19" s="47">
        <f>K18</f>
        <v>1382834.15</v>
      </c>
      <c r="D19" s="47">
        <f>L18</f>
        <v>8066.59</v>
      </c>
      <c r="E19" s="47">
        <v>535308.19999999995</v>
      </c>
      <c r="F19" s="47">
        <v>-637.41999999999996</v>
      </c>
      <c r="G19" s="47">
        <v>0</v>
      </c>
      <c r="H19" s="47">
        <v>0</v>
      </c>
      <c r="I19" s="47">
        <f t="shared" ref="I19:I29" si="10">E19+F19</f>
        <v>534670.77999999991</v>
      </c>
      <c r="J19" s="47">
        <v>458951.92</v>
      </c>
      <c r="K19" s="47">
        <v>1457933.9</v>
      </c>
      <c r="L19" s="47">
        <v>7447.48</v>
      </c>
      <c r="M19" t="b">
        <f t="shared" ref="M19:M29" si="11">C19-D19+I19-J19=K19-L19</f>
        <v>1</v>
      </c>
    </row>
    <row r="20" spans="1:13" hidden="1" outlineLevel="1" x14ac:dyDescent="0.25">
      <c r="B20" s="210">
        <v>43891</v>
      </c>
      <c r="C20" s="47">
        <f t="shared" ref="C20:C29" si="12">K19</f>
        <v>1457933.9</v>
      </c>
      <c r="D20" s="47">
        <f t="shared" ref="D20:D29" si="13">L19</f>
        <v>7447.48</v>
      </c>
      <c r="E20" s="47">
        <v>496898.95</v>
      </c>
      <c r="F20" s="47">
        <v>-5549.51</v>
      </c>
      <c r="G20" s="47">
        <v>0</v>
      </c>
      <c r="H20" s="47">
        <v>0</v>
      </c>
      <c r="I20" s="47">
        <f t="shared" si="10"/>
        <v>491349.44</v>
      </c>
      <c r="J20" s="47">
        <v>416201.8</v>
      </c>
      <c r="K20" s="47">
        <v>1537031.62</v>
      </c>
      <c r="L20" s="47">
        <v>11397.56</v>
      </c>
      <c r="M20" t="b">
        <f t="shared" si="11"/>
        <v>1</v>
      </c>
    </row>
    <row r="21" spans="1:13" hidden="1" outlineLevel="1" x14ac:dyDescent="0.25">
      <c r="B21" s="210">
        <v>43922</v>
      </c>
      <c r="C21" s="47">
        <f t="shared" si="12"/>
        <v>1537031.62</v>
      </c>
      <c r="D21" s="47">
        <f t="shared" si="13"/>
        <v>11397.56</v>
      </c>
      <c r="E21" s="47">
        <v>510187.6</v>
      </c>
      <c r="F21" s="47">
        <v>-6368</v>
      </c>
      <c r="G21" s="47">
        <v>0</v>
      </c>
      <c r="H21" s="47">
        <v>0</v>
      </c>
      <c r="I21" s="47">
        <f t="shared" si="10"/>
        <v>503819.6</v>
      </c>
      <c r="J21" s="47">
        <v>361607.21</v>
      </c>
      <c r="K21" s="47">
        <v>1678558.77</v>
      </c>
      <c r="L21" s="47">
        <v>10712.32</v>
      </c>
      <c r="M21" t="b">
        <f t="shared" si="11"/>
        <v>1</v>
      </c>
    </row>
    <row r="22" spans="1:13" hidden="1" outlineLevel="1" x14ac:dyDescent="0.25">
      <c r="B22" s="210">
        <v>43952</v>
      </c>
      <c r="C22" s="47">
        <f t="shared" si="12"/>
        <v>1678558.77</v>
      </c>
      <c r="D22" s="47">
        <f t="shared" si="13"/>
        <v>10712.32</v>
      </c>
      <c r="E22" s="47">
        <v>413560.06</v>
      </c>
      <c r="F22" s="47">
        <v>-5362.56</v>
      </c>
      <c r="G22" s="47">
        <v>0</v>
      </c>
      <c r="H22" s="47">
        <v>0</v>
      </c>
      <c r="I22" s="47">
        <f t="shared" si="10"/>
        <v>408197.5</v>
      </c>
      <c r="J22" s="47">
        <v>483861.11</v>
      </c>
      <c r="K22" s="47">
        <v>1607973.22</v>
      </c>
      <c r="L22" s="47">
        <v>15790.38</v>
      </c>
      <c r="M22" t="b">
        <f t="shared" si="11"/>
        <v>1</v>
      </c>
    </row>
    <row r="23" spans="1:13" hidden="1" outlineLevel="1" x14ac:dyDescent="0.25">
      <c r="B23" s="210">
        <v>43983</v>
      </c>
      <c r="C23" s="47">
        <f t="shared" si="12"/>
        <v>1607973.22</v>
      </c>
      <c r="D23" s="47">
        <f t="shared" si="13"/>
        <v>15790.38</v>
      </c>
      <c r="E23" s="47">
        <v>347315.73</v>
      </c>
      <c r="F23" s="47">
        <v>-3385.86</v>
      </c>
      <c r="G23" s="47">
        <v>0</v>
      </c>
      <c r="H23" s="47">
        <v>0</v>
      </c>
      <c r="I23" s="47">
        <f t="shared" si="10"/>
        <v>343929.87</v>
      </c>
      <c r="J23" s="47">
        <v>357360.97</v>
      </c>
      <c r="K23" s="47">
        <v>1607910.31</v>
      </c>
      <c r="L23" s="47">
        <v>29158.57</v>
      </c>
      <c r="M23" t="b">
        <f t="shared" si="11"/>
        <v>1</v>
      </c>
    </row>
    <row r="24" spans="1:13" hidden="1" outlineLevel="1" x14ac:dyDescent="0.25">
      <c r="B24" s="210">
        <v>44013</v>
      </c>
      <c r="C24" s="47">
        <f t="shared" si="12"/>
        <v>1607910.31</v>
      </c>
      <c r="D24" s="47">
        <f t="shared" si="13"/>
        <v>29158.57</v>
      </c>
      <c r="E24" s="47">
        <v>306503.36</v>
      </c>
      <c r="F24" s="47">
        <v>-21897.88</v>
      </c>
      <c r="G24" s="47">
        <v>0</v>
      </c>
      <c r="H24" s="47">
        <v>0</v>
      </c>
      <c r="I24" s="47">
        <f t="shared" si="10"/>
        <v>284605.48</v>
      </c>
      <c r="J24" s="47">
        <v>360115.55</v>
      </c>
      <c r="K24" s="47">
        <v>1540800.95</v>
      </c>
      <c r="L24" s="47">
        <v>37559.279999999999</v>
      </c>
      <c r="M24" t="b">
        <f t="shared" si="11"/>
        <v>1</v>
      </c>
    </row>
    <row r="25" spans="1:13" hidden="1" outlineLevel="1" x14ac:dyDescent="0.25">
      <c r="B25" s="210">
        <v>44044</v>
      </c>
      <c r="C25" s="47">
        <f t="shared" si="12"/>
        <v>1540800.95</v>
      </c>
      <c r="D25" s="47">
        <f t="shared" si="13"/>
        <v>37559.279999999999</v>
      </c>
      <c r="E25" s="47">
        <v>302981.02</v>
      </c>
      <c r="F25" s="47">
        <v>-39252.14</v>
      </c>
      <c r="G25" s="47">
        <v>0</v>
      </c>
      <c r="H25" s="47">
        <v>0</v>
      </c>
      <c r="I25" s="47">
        <f t="shared" si="10"/>
        <v>263728.88</v>
      </c>
      <c r="J25" s="47">
        <v>277024.81</v>
      </c>
      <c r="K25" s="47">
        <v>1530675.85</v>
      </c>
      <c r="L25" s="47">
        <v>40730.11</v>
      </c>
      <c r="M25" t="b">
        <f t="shared" si="11"/>
        <v>1</v>
      </c>
    </row>
    <row r="26" spans="1:13" hidden="1" outlineLevel="1" x14ac:dyDescent="0.25">
      <c r="B26" s="210">
        <v>44075</v>
      </c>
      <c r="C26" s="47">
        <f t="shared" si="12"/>
        <v>1530675.85</v>
      </c>
      <c r="D26" s="47">
        <f t="shared" si="13"/>
        <v>40730.11</v>
      </c>
      <c r="E26" s="47">
        <v>161480.97</v>
      </c>
      <c r="F26" s="47">
        <v>-32450.47</v>
      </c>
      <c r="G26" s="47">
        <v>0</v>
      </c>
      <c r="H26" s="47">
        <v>0</v>
      </c>
      <c r="I26" s="47">
        <f t="shared" si="10"/>
        <v>129030.5</v>
      </c>
      <c r="J26" s="47">
        <v>345882.74</v>
      </c>
      <c r="K26" s="47">
        <v>1313965.33</v>
      </c>
      <c r="L26" s="47">
        <v>40871.83</v>
      </c>
      <c r="M26" t="b">
        <f t="shared" si="11"/>
        <v>1</v>
      </c>
    </row>
    <row r="27" spans="1:13" hidden="1" outlineLevel="1" x14ac:dyDescent="0.25">
      <c r="B27" s="210">
        <v>44105</v>
      </c>
      <c r="C27" s="47">
        <f t="shared" si="12"/>
        <v>1313965.33</v>
      </c>
      <c r="D27" s="47">
        <f t="shared" si="13"/>
        <v>40871.83</v>
      </c>
      <c r="E27" s="47">
        <v>162868.47</v>
      </c>
      <c r="F27" s="47">
        <v>-3478.53</v>
      </c>
      <c r="G27" s="47">
        <v>0</v>
      </c>
      <c r="H27" s="47">
        <v>0</v>
      </c>
      <c r="I27" s="47">
        <f t="shared" si="10"/>
        <v>159389.94</v>
      </c>
      <c r="J27" s="47">
        <v>243866.41</v>
      </c>
      <c r="K27" s="47">
        <v>1221978.3400000001</v>
      </c>
      <c r="L27" s="47">
        <v>33361.31</v>
      </c>
      <c r="M27" t="b">
        <f t="shared" si="11"/>
        <v>1</v>
      </c>
    </row>
    <row r="28" spans="1:13" hidden="1" outlineLevel="1" x14ac:dyDescent="0.25">
      <c r="B28" s="210">
        <v>44136</v>
      </c>
      <c r="C28" s="47">
        <f t="shared" si="12"/>
        <v>1221978.3400000001</v>
      </c>
      <c r="D28" s="47">
        <f t="shared" si="13"/>
        <v>33361.31</v>
      </c>
      <c r="E28" s="47">
        <v>162868.47</v>
      </c>
      <c r="F28" s="47">
        <v>-975.91</v>
      </c>
      <c r="G28" s="47">
        <v>0</v>
      </c>
      <c r="H28" s="47">
        <v>0</v>
      </c>
      <c r="I28" s="47">
        <f t="shared" si="10"/>
        <v>161892.56</v>
      </c>
      <c r="J28" s="47">
        <v>158286.1</v>
      </c>
      <c r="K28" s="47">
        <v>1220326.68</v>
      </c>
      <c r="L28" s="47">
        <v>28103.19</v>
      </c>
      <c r="M28" t="b">
        <f t="shared" si="11"/>
        <v>1</v>
      </c>
    </row>
    <row r="29" spans="1:13" hidden="1" outlineLevel="1" x14ac:dyDescent="0.25">
      <c r="B29" s="210">
        <v>44166</v>
      </c>
      <c r="C29" s="47">
        <f t="shared" si="12"/>
        <v>1220326.68</v>
      </c>
      <c r="D29" s="47">
        <f t="shared" si="13"/>
        <v>28103.19</v>
      </c>
      <c r="E29" s="47">
        <v>162868.47</v>
      </c>
      <c r="F29" s="47">
        <v>0</v>
      </c>
      <c r="G29" s="47">
        <v>0</v>
      </c>
      <c r="H29" s="47">
        <v>0</v>
      </c>
      <c r="I29" s="47">
        <f t="shared" si="10"/>
        <v>162868.47</v>
      </c>
      <c r="J29" s="47">
        <v>279742.68</v>
      </c>
      <c r="K29" s="211">
        <v>1101556.96</v>
      </c>
      <c r="L29" s="211">
        <v>26207.68</v>
      </c>
      <c r="M29" t="b">
        <f t="shared" si="11"/>
        <v>1</v>
      </c>
    </row>
    <row r="30" spans="1:13" collapsed="1" x14ac:dyDescent="0.25">
      <c r="A30" s="46" t="s">
        <v>2344</v>
      </c>
      <c r="B30" s="46"/>
      <c r="C30" s="211">
        <f>C31</f>
        <v>335820.67</v>
      </c>
      <c r="D30" s="211">
        <f>D31</f>
        <v>0.38</v>
      </c>
      <c r="E30" s="211">
        <f>SUM(E31:E42)</f>
        <v>907487.64999999979</v>
      </c>
      <c r="F30" s="211">
        <f t="shared" ref="F30:J30" si="14">SUM(F31:F42)</f>
        <v>-49823.28</v>
      </c>
      <c r="G30" s="211">
        <f t="shared" si="14"/>
        <v>0</v>
      </c>
      <c r="H30" s="211">
        <f t="shared" si="14"/>
        <v>0</v>
      </c>
      <c r="I30" s="211">
        <f t="shared" si="14"/>
        <v>857664.36999999988</v>
      </c>
      <c r="J30" s="211">
        <f t="shared" si="14"/>
        <v>403528.97</v>
      </c>
      <c r="K30" s="211">
        <f>K42</f>
        <v>790750.84</v>
      </c>
      <c r="L30" s="211">
        <f>L42</f>
        <v>795.15</v>
      </c>
      <c r="M30" s="46"/>
    </row>
    <row r="31" spans="1:13" hidden="1" outlineLevel="1" x14ac:dyDescent="0.25">
      <c r="B31" s="210">
        <v>43831</v>
      </c>
      <c r="C31" s="211">
        <v>335820.67</v>
      </c>
      <c r="D31" s="211">
        <v>0.38</v>
      </c>
      <c r="E31" s="47">
        <v>73893.23</v>
      </c>
      <c r="F31" s="47">
        <v>-49657.58</v>
      </c>
      <c r="G31" s="47">
        <v>0</v>
      </c>
      <c r="H31" s="47">
        <v>0</v>
      </c>
      <c r="I31" s="47">
        <f>E31+F31</f>
        <v>24235.649999999994</v>
      </c>
      <c r="J31" s="47">
        <v>22592.34</v>
      </c>
      <c r="K31" s="47">
        <v>338258.69</v>
      </c>
      <c r="L31" s="47">
        <v>795.09</v>
      </c>
      <c r="M31" t="b">
        <f>C31-D31+I31-J31=K31-L31</f>
        <v>1</v>
      </c>
    </row>
    <row r="32" spans="1:13" hidden="1" outlineLevel="1" x14ac:dyDescent="0.25">
      <c r="B32" s="210">
        <v>43862</v>
      </c>
      <c r="C32" s="47">
        <f>K31</f>
        <v>338258.69</v>
      </c>
      <c r="D32" s="47">
        <f>L31</f>
        <v>795.09</v>
      </c>
      <c r="E32" s="47">
        <v>78415.600000000006</v>
      </c>
      <c r="F32" s="47">
        <v>-165.7</v>
      </c>
      <c r="G32" s="47">
        <v>0</v>
      </c>
      <c r="H32" s="47">
        <v>0</v>
      </c>
      <c r="I32" s="47">
        <f t="shared" ref="I32:I42" si="15">E32+F32</f>
        <v>78249.900000000009</v>
      </c>
      <c r="J32" s="47">
        <v>17526.669999999998</v>
      </c>
      <c r="K32" s="47">
        <v>398186.83</v>
      </c>
      <c r="L32" s="47">
        <v>0</v>
      </c>
      <c r="M32" t="b">
        <f t="shared" ref="M32:M42" si="16">C32-D32+I32-J32=K32-L32</f>
        <v>1</v>
      </c>
    </row>
    <row r="33" spans="1:13" hidden="1" outlineLevel="1" x14ac:dyDescent="0.25">
      <c r="B33" s="210">
        <v>43891</v>
      </c>
      <c r="C33" s="47">
        <f t="shared" ref="C33:C42" si="17">K32</f>
        <v>398186.83</v>
      </c>
      <c r="D33" s="47">
        <f t="shared" ref="D33:D42" si="18">L32</f>
        <v>0</v>
      </c>
      <c r="E33" s="47">
        <v>75417.61</v>
      </c>
      <c r="F33" s="47">
        <v>0</v>
      </c>
      <c r="G33" s="47">
        <v>0</v>
      </c>
      <c r="H33" s="47">
        <v>0</v>
      </c>
      <c r="I33" s="47">
        <f t="shared" si="15"/>
        <v>75417.61</v>
      </c>
      <c r="J33" s="47">
        <v>28598.55</v>
      </c>
      <c r="K33" s="47">
        <v>445005.89</v>
      </c>
      <c r="L33" s="47">
        <v>0</v>
      </c>
      <c r="M33" t="b">
        <f t="shared" si="16"/>
        <v>1</v>
      </c>
    </row>
    <row r="34" spans="1:13" hidden="1" outlineLevel="1" x14ac:dyDescent="0.25">
      <c r="B34" s="210">
        <v>43922</v>
      </c>
      <c r="C34" s="47">
        <f t="shared" si="17"/>
        <v>445005.89</v>
      </c>
      <c r="D34" s="47">
        <f t="shared" si="18"/>
        <v>0</v>
      </c>
      <c r="E34" s="47">
        <v>75417.61</v>
      </c>
      <c r="F34" s="47">
        <v>0</v>
      </c>
      <c r="G34" s="47">
        <v>0</v>
      </c>
      <c r="H34" s="47">
        <v>0</v>
      </c>
      <c r="I34" s="47">
        <f t="shared" si="15"/>
        <v>75417.61</v>
      </c>
      <c r="J34" s="47">
        <v>31007.97</v>
      </c>
      <c r="K34" s="47">
        <v>489415.53</v>
      </c>
      <c r="L34" s="47">
        <v>0</v>
      </c>
      <c r="M34" t="b">
        <f t="shared" si="16"/>
        <v>1</v>
      </c>
    </row>
    <row r="35" spans="1:13" hidden="1" outlineLevel="1" x14ac:dyDescent="0.25">
      <c r="B35" s="210">
        <v>43952</v>
      </c>
      <c r="C35" s="47">
        <f t="shared" si="17"/>
        <v>489415.53</v>
      </c>
      <c r="D35" s="47">
        <f t="shared" si="18"/>
        <v>0</v>
      </c>
      <c r="E35" s="47">
        <v>75417.61</v>
      </c>
      <c r="F35" s="47">
        <v>0</v>
      </c>
      <c r="G35" s="47">
        <v>0</v>
      </c>
      <c r="H35" s="47">
        <v>0</v>
      </c>
      <c r="I35" s="47">
        <f t="shared" si="15"/>
        <v>75417.61</v>
      </c>
      <c r="J35" s="47">
        <v>26988.400000000001</v>
      </c>
      <c r="K35" s="47">
        <v>537844.74</v>
      </c>
      <c r="L35" s="47">
        <v>0</v>
      </c>
      <c r="M35" t="b">
        <f t="shared" si="16"/>
        <v>1</v>
      </c>
    </row>
    <row r="36" spans="1:13" hidden="1" outlineLevel="1" x14ac:dyDescent="0.25">
      <c r="B36" s="210">
        <v>43983</v>
      </c>
      <c r="C36" s="47">
        <f t="shared" si="17"/>
        <v>537844.74</v>
      </c>
      <c r="D36" s="47">
        <f t="shared" si="18"/>
        <v>0</v>
      </c>
      <c r="E36" s="47">
        <v>75417.61</v>
      </c>
      <c r="F36" s="47">
        <v>0</v>
      </c>
      <c r="G36" s="47">
        <v>0</v>
      </c>
      <c r="H36" s="47">
        <v>0</v>
      </c>
      <c r="I36" s="47">
        <f t="shared" si="15"/>
        <v>75417.61</v>
      </c>
      <c r="J36" s="47">
        <v>31925.01</v>
      </c>
      <c r="K36" s="47">
        <v>581337.34</v>
      </c>
      <c r="L36" s="47">
        <v>0</v>
      </c>
      <c r="M36" t="b">
        <f t="shared" si="16"/>
        <v>1</v>
      </c>
    </row>
    <row r="37" spans="1:13" hidden="1" outlineLevel="1" x14ac:dyDescent="0.25">
      <c r="B37" s="210">
        <v>44013</v>
      </c>
      <c r="C37" s="47">
        <f t="shared" si="17"/>
        <v>581337.34</v>
      </c>
      <c r="D37" s="47">
        <f t="shared" si="18"/>
        <v>0</v>
      </c>
      <c r="E37" s="47">
        <v>75490.87</v>
      </c>
      <c r="F37" s="47">
        <v>0</v>
      </c>
      <c r="G37" s="47">
        <v>0</v>
      </c>
      <c r="H37" s="47">
        <v>0</v>
      </c>
      <c r="I37" s="47">
        <f t="shared" si="15"/>
        <v>75490.87</v>
      </c>
      <c r="J37" s="47">
        <v>39226.9</v>
      </c>
      <c r="K37" s="47">
        <v>617601.31000000006</v>
      </c>
      <c r="L37" s="47">
        <v>0</v>
      </c>
      <c r="M37" t="b">
        <f t="shared" si="16"/>
        <v>1</v>
      </c>
    </row>
    <row r="38" spans="1:13" hidden="1" outlineLevel="1" x14ac:dyDescent="0.25">
      <c r="B38" s="210">
        <v>44044</v>
      </c>
      <c r="C38" s="47">
        <f t="shared" si="17"/>
        <v>617601.31000000006</v>
      </c>
      <c r="D38" s="47">
        <f t="shared" si="18"/>
        <v>0</v>
      </c>
      <c r="E38" s="47">
        <v>75490.87</v>
      </c>
      <c r="F38" s="47">
        <v>0</v>
      </c>
      <c r="G38" s="47">
        <v>0</v>
      </c>
      <c r="H38" s="47">
        <v>0</v>
      </c>
      <c r="I38" s="47">
        <f t="shared" si="15"/>
        <v>75490.87</v>
      </c>
      <c r="J38" s="47">
        <v>51190.38</v>
      </c>
      <c r="K38" s="47">
        <v>641901.80000000005</v>
      </c>
      <c r="L38" s="47">
        <v>0</v>
      </c>
      <c r="M38" t="b">
        <f t="shared" si="16"/>
        <v>1</v>
      </c>
    </row>
    <row r="39" spans="1:13" hidden="1" outlineLevel="1" x14ac:dyDescent="0.25">
      <c r="B39" s="210">
        <v>44075</v>
      </c>
      <c r="C39" s="47">
        <f t="shared" si="17"/>
        <v>641901.80000000005</v>
      </c>
      <c r="D39" s="47">
        <f t="shared" si="18"/>
        <v>0</v>
      </c>
      <c r="E39" s="47">
        <v>75490.87</v>
      </c>
      <c r="F39" s="47">
        <v>0</v>
      </c>
      <c r="G39" s="47">
        <v>0</v>
      </c>
      <c r="H39" s="47">
        <v>0</v>
      </c>
      <c r="I39" s="47">
        <f t="shared" si="15"/>
        <v>75490.87</v>
      </c>
      <c r="J39" s="47">
        <v>32968.01</v>
      </c>
      <c r="K39" s="47">
        <v>684897.07</v>
      </c>
      <c r="L39" s="47">
        <v>472.41</v>
      </c>
      <c r="M39" t="b">
        <f t="shared" si="16"/>
        <v>1</v>
      </c>
    </row>
    <row r="40" spans="1:13" hidden="1" outlineLevel="1" x14ac:dyDescent="0.25">
      <c r="B40" s="210">
        <v>44105</v>
      </c>
      <c r="C40" s="47">
        <f t="shared" si="17"/>
        <v>684897.07</v>
      </c>
      <c r="D40" s="47">
        <f t="shared" si="18"/>
        <v>472.41</v>
      </c>
      <c r="E40" s="47">
        <v>75678.59</v>
      </c>
      <c r="F40" s="47">
        <v>0</v>
      </c>
      <c r="G40" s="47">
        <v>0</v>
      </c>
      <c r="H40" s="47">
        <v>0</v>
      </c>
      <c r="I40" s="47">
        <f t="shared" si="15"/>
        <v>75678.59</v>
      </c>
      <c r="J40" s="47">
        <v>40966.6</v>
      </c>
      <c r="K40" s="47">
        <v>719136.65</v>
      </c>
      <c r="L40" s="47">
        <v>0</v>
      </c>
      <c r="M40" t="b">
        <f t="shared" si="16"/>
        <v>1</v>
      </c>
    </row>
    <row r="41" spans="1:13" hidden="1" outlineLevel="1" x14ac:dyDescent="0.25">
      <c r="B41" s="210">
        <v>44136</v>
      </c>
      <c r="C41" s="47">
        <f t="shared" si="17"/>
        <v>719136.65</v>
      </c>
      <c r="D41" s="47">
        <f t="shared" si="18"/>
        <v>0</v>
      </c>
      <c r="E41" s="47">
        <v>75678.59</v>
      </c>
      <c r="F41" s="47">
        <v>0</v>
      </c>
      <c r="G41" s="47">
        <v>0</v>
      </c>
      <c r="H41" s="47">
        <v>0</v>
      </c>
      <c r="I41" s="47">
        <f t="shared" si="15"/>
        <v>75678.59</v>
      </c>
      <c r="J41" s="47">
        <v>32567.64</v>
      </c>
      <c r="K41" s="47">
        <v>762247.6</v>
      </c>
      <c r="L41" s="47">
        <v>0</v>
      </c>
      <c r="M41" t="b">
        <f t="shared" si="16"/>
        <v>1</v>
      </c>
    </row>
    <row r="42" spans="1:13" hidden="1" outlineLevel="1" x14ac:dyDescent="0.25">
      <c r="B42" s="210">
        <v>44166</v>
      </c>
      <c r="C42" s="47">
        <f t="shared" si="17"/>
        <v>762247.6</v>
      </c>
      <c r="D42" s="47">
        <f t="shared" si="18"/>
        <v>0</v>
      </c>
      <c r="E42" s="47">
        <v>75678.59</v>
      </c>
      <c r="F42" s="47">
        <v>0</v>
      </c>
      <c r="G42" s="47">
        <v>0</v>
      </c>
      <c r="H42" s="47">
        <v>0</v>
      </c>
      <c r="I42" s="47">
        <f t="shared" si="15"/>
        <v>75678.59</v>
      </c>
      <c r="J42" s="47">
        <v>47970.5</v>
      </c>
      <c r="K42" s="211">
        <v>790750.84</v>
      </c>
      <c r="L42" s="211">
        <v>795.15</v>
      </c>
      <c r="M42" t="b">
        <f t="shared" si="16"/>
        <v>1</v>
      </c>
    </row>
    <row r="43" spans="1:13" collapsed="1" x14ac:dyDescent="0.25">
      <c r="A43" s="46" t="s">
        <v>2345</v>
      </c>
      <c r="B43" s="46"/>
      <c r="C43" s="211">
        <f>C44</f>
        <v>160047.51999999999</v>
      </c>
      <c r="D43" s="211">
        <f>D44</f>
        <v>32.68</v>
      </c>
      <c r="E43" s="211">
        <f>SUM(E44:E55)</f>
        <v>514401.52999999997</v>
      </c>
      <c r="F43" s="211">
        <f t="shared" ref="F43:J43" si="19">SUM(F44:F55)</f>
        <v>-31322.129999999997</v>
      </c>
      <c r="G43" s="211">
        <f t="shared" si="19"/>
        <v>0</v>
      </c>
      <c r="H43" s="211">
        <f t="shared" si="19"/>
        <v>0</v>
      </c>
      <c r="I43" s="211">
        <f t="shared" si="19"/>
        <v>483079.4</v>
      </c>
      <c r="J43" s="211">
        <f t="shared" si="19"/>
        <v>286415.25</v>
      </c>
      <c r="K43" s="211">
        <f>K55</f>
        <v>356678.99</v>
      </c>
      <c r="L43" s="211">
        <f>L55</f>
        <v>0</v>
      </c>
      <c r="M43" s="46"/>
    </row>
    <row r="44" spans="1:13" hidden="1" outlineLevel="1" x14ac:dyDescent="0.25">
      <c r="B44" s="210">
        <v>43831</v>
      </c>
      <c r="C44" s="211">
        <v>160047.51999999999</v>
      </c>
      <c r="D44" s="211">
        <v>32.68</v>
      </c>
      <c r="E44" s="47">
        <v>43441.39</v>
      </c>
      <c r="F44" s="47">
        <v>-2147.8000000000002</v>
      </c>
      <c r="G44" s="47">
        <v>0</v>
      </c>
      <c r="H44" s="47">
        <v>0</v>
      </c>
      <c r="I44" s="47">
        <f>E44+F44</f>
        <v>41293.589999999997</v>
      </c>
      <c r="J44" s="47">
        <v>15820.87</v>
      </c>
      <c r="K44" s="47">
        <v>185487.56</v>
      </c>
      <c r="L44" s="47">
        <v>0</v>
      </c>
      <c r="M44" t="b">
        <f>C44-D44+I44-J44=K44-L44</f>
        <v>1</v>
      </c>
    </row>
    <row r="45" spans="1:13" hidden="1" outlineLevel="1" x14ac:dyDescent="0.25">
      <c r="B45" s="210">
        <v>43862</v>
      </c>
      <c r="C45" s="47">
        <f>K44</f>
        <v>185487.56</v>
      </c>
      <c r="D45" s="47">
        <f>L44</f>
        <v>0</v>
      </c>
      <c r="E45" s="47">
        <v>43441.39</v>
      </c>
      <c r="F45" s="47">
        <v>0</v>
      </c>
      <c r="G45" s="47">
        <v>0</v>
      </c>
      <c r="H45" s="47">
        <v>0</v>
      </c>
      <c r="I45" s="47">
        <f t="shared" ref="I45:I55" si="20">E45+F45</f>
        <v>43441.39</v>
      </c>
      <c r="J45" s="47">
        <v>27122.18</v>
      </c>
      <c r="K45" s="47">
        <v>201806.77</v>
      </c>
      <c r="L45" s="47">
        <v>0</v>
      </c>
      <c r="M45" t="b">
        <f t="shared" ref="M45:M55" si="21">C45-D45+I45-J45=K45-L45</f>
        <v>1</v>
      </c>
    </row>
    <row r="46" spans="1:13" hidden="1" outlineLevel="1" x14ac:dyDescent="0.25">
      <c r="B46" s="210">
        <v>43891</v>
      </c>
      <c r="C46" s="47">
        <f t="shared" ref="C46:C55" si="22">K45</f>
        <v>201806.77</v>
      </c>
      <c r="D46" s="47">
        <f t="shared" ref="D46:D55" si="23">L45</f>
        <v>0</v>
      </c>
      <c r="E46" s="47">
        <v>43313.27</v>
      </c>
      <c r="F46" s="47">
        <v>-4555.87</v>
      </c>
      <c r="G46" s="47">
        <v>0</v>
      </c>
      <c r="H46" s="47">
        <v>0</v>
      </c>
      <c r="I46" s="47">
        <f t="shared" si="20"/>
        <v>38757.399999999994</v>
      </c>
      <c r="J46" s="47">
        <v>26291.21</v>
      </c>
      <c r="K46" s="47">
        <v>214386.34</v>
      </c>
      <c r="L46" s="47">
        <v>113.38</v>
      </c>
      <c r="M46" t="b">
        <f t="shared" si="21"/>
        <v>1</v>
      </c>
    </row>
    <row r="47" spans="1:13" hidden="1" outlineLevel="1" x14ac:dyDescent="0.25">
      <c r="B47" s="210">
        <v>43922</v>
      </c>
      <c r="C47" s="47">
        <f t="shared" si="22"/>
        <v>214386.34</v>
      </c>
      <c r="D47" s="47">
        <f t="shared" si="23"/>
        <v>113.38</v>
      </c>
      <c r="E47" s="47">
        <v>43313.27</v>
      </c>
      <c r="F47" s="47">
        <v>0</v>
      </c>
      <c r="G47" s="47">
        <v>0</v>
      </c>
      <c r="H47" s="47">
        <v>0</v>
      </c>
      <c r="I47" s="47">
        <f t="shared" si="20"/>
        <v>43313.27</v>
      </c>
      <c r="J47" s="47">
        <v>15188.65</v>
      </c>
      <c r="K47" s="47">
        <v>242397.58</v>
      </c>
      <c r="L47" s="47">
        <v>0</v>
      </c>
      <c r="M47" t="b">
        <f t="shared" si="21"/>
        <v>1</v>
      </c>
    </row>
    <row r="48" spans="1:13" hidden="1" outlineLevel="1" x14ac:dyDescent="0.25">
      <c r="B48" s="210">
        <v>43952</v>
      </c>
      <c r="C48" s="47">
        <f t="shared" si="22"/>
        <v>242397.58</v>
      </c>
      <c r="D48" s="47">
        <f t="shared" si="23"/>
        <v>0</v>
      </c>
      <c r="E48" s="47">
        <v>43313.27</v>
      </c>
      <c r="F48" s="47">
        <v>0</v>
      </c>
      <c r="G48" s="47">
        <v>0</v>
      </c>
      <c r="H48" s="47">
        <v>0</v>
      </c>
      <c r="I48" s="47">
        <f t="shared" si="20"/>
        <v>43313.27</v>
      </c>
      <c r="J48" s="47">
        <v>21706.6</v>
      </c>
      <c r="K48" s="47">
        <v>264004.25</v>
      </c>
      <c r="L48" s="47">
        <v>0</v>
      </c>
      <c r="M48" t="b">
        <f t="shared" si="21"/>
        <v>1</v>
      </c>
    </row>
    <row r="49" spans="1:13" hidden="1" outlineLevel="1" x14ac:dyDescent="0.25">
      <c r="B49" s="210">
        <v>43983</v>
      </c>
      <c r="C49" s="47">
        <f t="shared" si="22"/>
        <v>264004.25</v>
      </c>
      <c r="D49" s="47">
        <f t="shared" si="23"/>
        <v>0</v>
      </c>
      <c r="E49" s="47">
        <v>43313.27</v>
      </c>
      <c r="F49" s="47">
        <v>0</v>
      </c>
      <c r="G49" s="47">
        <v>0</v>
      </c>
      <c r="H49" s="47">
        <v>0</v>
      </c>
      <c r="I49" s="47">
        <f t="shared" si="20"/>
        <v>43313.27</v>
      </c>
      <c r="J49" s="47">
        <v>23491.279999999999</v>
      </c>
      <c r="K49" s="47">
        <v>283826.24</v>
      </c>
      <c r="L49" s="47">
        <v>0</v>
      </c>
      <c r="M49" t="b">
        <f t="shared" si="21"/>
        <v>1</v>
      </c>
    </row>
    <row r="50" spans="1:13" hidden="1" outlineLevel="1" x14ac:dyDescent="0.25">
      <c r="B50" s="210">
        <v>44013</v>
      </c>
      <c r="C50" s="47">
        <f t="shared" si="22"/>
        <v>283826.24</v>
      </c>
      <c r="D50" s="47">
        <f t="shared" si="23"/>
        <v>0</v>
      </c>
      <c r="E50" s="47">
        <v>43368.27</v>
      </c>
      <c r="F50" s="47">
        <v>0</v>
      </c>
      <c r="G50" s="47">
        <v>0</v>
      </c>
      <c r="H50" s="47">
        <v>0</v>
      </c>
      <c r="I50" s="47">
        <f t="shared" si="20"/>
        <v>43368.27</v>
      </c>
      <c r="J50" s="47">
        <v>28849.74</v>
      </c>
      <c r="K50" s="47">
        <v>298344.77</v>
      </c>
      <c r="L50" s="47">
        <v>0</v>
      </c>
      <c r="M50" t="b">
        <f t="shared" si="21"/>
        <v>1</v>
      </c>
    </row>
    <row r="51" spans="1:13" hidden="1" outlineLevel="1" x14ac:dyDescent="0.25">
      <c r="B51" s="210">
        <v>44044</v>
      </c>
      <c r="C51" s="47">
        <f t="shared" si="22"/>
        <v>298344.77</v>
      </c>
      <c r="D51" s="47">
        <f t="shared" si="23"/>
        <v>0</v>
      </c>
      <c r="E51" s="47">
        <v>43368.27</v>
      </c>
      <c r="F51" s="47">
        <v>0</v>
      </c>
      <c r="G51" s="47">
        <v>0</v>
      </c>
      <c r="H51" s="47">
        <v>0</v>
      </c>
      <c r="I51" s="47">
        <f t="shared" si="20"/>
        <v>43368.27</v>
      </c>
      <c r="J51" s="47">
        <v>22911.919999999998</v>
      </c>
      <c r="K51" s="47">
        <v>318801.12</v>
      </c>
      <c r="L51" s="47">
        <v>0</v>
      </c>
      <c r="M51" t="b">
        <f t="shared" si="21"/>
        <v>1</v>
      </c>
    </row>
    <row r="52" spans="1:13" hidden="1" outlineLevel="1" x14ac:dyDescent="0.25">
      <c r="B52" s="210">
        <v>44075</v>
      </c>
      <c r="C52" s="47">
        <f t="shared" si="22"/>
        <v>318801.12</v>
      </c>
      <c r="D52" s="47">
        <f t="shared" si="23"/>
        <v>0</v>
      </c>
      <c r="E52" s="47">
        <v>41755.78</v>
      </c>
      <c r="F52" s="47">
        <v>-24618.46</v>
      </c>
      <c r="G52" s="47">
        <v>0</v>
      </c>
      <c r="H52" s="47">
        <v>0</v>
      </c>
      <c r="I52" s="47">
        <f t="shared" si="20"/>
        <v>17137.32</v>
      </c>
      <c r="J52" s="47">
        <v>26461.599999999999</v>
      </c>
      <c r="K52" s="47">
        <v>309476.84000000003</v>
      </c>
      <c r="L52" s="47">
        <v>0</v>
      </c>
      <c r="M52" t="b">
        <f t="shared" si="21"/>
        <v>1</v>
      </c>
    </row>
    <row r="53" spans="1:13" hidden="1" outlineLevel="1" x14ac:dyDescent="0.25">
      <c r="B53" s="210">
        <v>44105</v>
      </c>
      <c r="C53" s="47">
        <f t="shared" si="22"/>
        <v>309476.84000000003</v>
      </c>
      <c r="D53" s="47">
        <f t="shared" si="23"/>
        <v>0</v>
      </c>
      <c r="E53" s="47">
        <v>41924.449999999997</v>
      </c>
      <c r="F53" s="47">
        <v>0</v>
      </c>
      <c r="G53" s="47">
        <v>0</v>
      </c>
      <c r="H53" s="47">
        <v>0</v>
      </c>
      <c r="I53" s="47">
        <f t="shared" si="20"/>
        <v>41924.449999999997</v>
      </c>
      <c r="J53" s="47">
        <v>21579.01</v>
      </c>
      <c r="K53" s="47">
        <v>329822.28000000003</v>
      </c>
      <c r="L53" s="47">
        <v>0</v>
      </c>
      <c r="M53" t="b">
        <f t="shared" si="21"/>
        <v>1</v>
      </c>
    </row>
    <row r="54" spans="1:13" hidden="1" outlineLevel="1" x14ac:dyDescent="0.25">
      <c r="B54" s="210">
        <v>44136</v>
      </c>
      <c r="C54" s="47">
        <f t="shared" si="22"/>
        <v>329822.28000000003</v>
      </c>
      <c r="D54" s="47">
        <f t="shared" si="23"/>
        <v>0</v>
      </c>
      <c r="E54" s="47">
        <v>41924.449999999997</v>
      </c>
      <c r="F54" s="47">
        <v>0</v>
      </c>
      <c r="G54" s="47">
        <v>0</v>
      </c>
      <c r="H54" s="47">
        <v>0</v>
      </c>
      <c r="I54" s="47">
        <f t="shared" si="20"/>
        <v>41924.449999999997</v>
      </c>
      <c r="J54" s="47">
        <v>21234.28</v>
      </c>
      <c r="K54" s="47">
        <v>350512.45</v>
      </c>
      <c r="L54" s="47">
        <v>0</v>
      </c>
      <c r="M54" t="b">
        <f t="shared" si="21"/>
        <v>1</v>
      </c>
    </row>
    <row r="55" spans="1:13" hidden="1" outlineLevel="1" x14ac:dyDescent="0.25">
      <c r="B55" s="210">
        <v>44166</v>
      </c>
      <c r="C55" s="47">
        <f t="shared" si="22"/>
        <v>350512.45</v>
      </c>
      <c r="D55" s="47">
        <f t="shared" si="23"/>
        <v>0</v>
      </c>
      <c r="E55" s="47">
        <v>41924.449999999997</v>
      </c>
      <c r="F55" s="47">
        <v>0</v>
      </c>
      <c r="G55" s="47">
        <v>0</v>
      </c>
      <c r="H55" s="47">
        <v>0</v>
      </c>
      <c r="I55" s="47">
        <f t="shared" si="20"/>
        <v>41924.449999999997</v>
      </c>
      <c r="J55" s="47">
        <v>35757.910000000003</v>
      </c>
      <c r="K55" s="211">
        <v>356678.99</v>
      </c>
      <c r="L55" s="211">
        <v>0</v>
      </c>
      <c r="M55" t="b">
        <f t="shared" si="21"/>
        <v>1</v>
      </c>
    </row>
    <row r="56" spans="1:13" collapsed="1" x14ac:dyDescent="0.25">
      <c r="A56" s="46" t="s">
        <v>2346</v>
      </c>
      <c r="B56" s="46"/>
      <c r="C56" s="211">
        <f>C57</f>
        <v>214959.07</v>
      </c>
      <c r="D56" s="211">
        <f>D57</f>
        <v>26.06</v>
      </c>
      <c r="E56" s="211">
        <f>SUM(E57:E68)</f>
        <v>1175596.22</v>
      </c>
      <c r="F56" s="211">
        <f t="shared" ref="F56:J56" si="24">SUM(F57:F68)</f>
        <v>-0.16</v>
      </c>
      <c r="G56" s="211">
        <f t="shared" si="24"/>
        <v>0</v>
      </c>
      <c r="H56" s="211">
        <f t="shared" si="24"/>
        <v>0</v>
      </c>
      <c r="I56" s="211">
        <f t="shared" si="24"/>
        <v>1175596.06</v>
      </c>
      <c r="J56" s="211">
        <f t="shared" si="24"/>
        <v>923043.48</v>
      </c>
      <c r="K56" s="211">
        <f>K68</f>
        <v>467485.59</v>
      </c>
      <c r="L56" s="211">
        <f>L68</f>
        <v>0</v>
      </c>
      <c r="M56" s="46"/>
    </row>
    <row r="57" spans="1:13" hidden="1" outlineLevel="1" x14ac:dyDescent="0.25">
      <c r="B57" s="210">
        <v>43831</v>
      </c>
      <c r="C57" s="211">
        <v>214959.07</v>
      </c>
      <c r="D57" s="211">
        <v>26.06</v>
      </c>
      <c r="E57" s="47">
        <v>97916.5</v>
      </c>
      <c r="F57" s="47">
        <v>0</v>
      </c>
      <c r="G57" s="47">
        <v>0</v>
      </c>
      <c r="H57" s="47">
        <v>0</v>
      </c>
      <c r="I57" s="47">
        <f>E57+F57</f>
        <v>97916.5</v>
      </c>
      <c r="J57" s="47">
        <v>62923.19</v>
      </c>
      <c r="K57" s="47">
        <v>249926.32</v>
      </c>
      <c r="L57" s="47">
        <v>0</v>
      </c>
      <c r="M57" t="b">
        <f>C57-D57+I57-J57=K57-L57</f>
        <v>1</v>
      </c>
    </row>
    <row r="58" spans="1:13" hidden="1" outlineLevel="1" x14ac:dyDescent="0.25">
      <c r="B58" s="210">
        <v>43862</v>
      </c>
      <c r="C58" s="47">
        <f>K57</f>
        <v>249926.32</v>
      </c>
      <c r="D58" s="47">
        <f>L57</f>
        <v>0</v>
      </c>
      <c r="E58" s="47">
        <v>97916.479999999996</v>
      </c>
      <c r="F58" s="47">
        <v>-0.16</v>
      </c>
      <c r="G58" s="47">
        <v>0</v>
      </c>
      <c r="H58" s="47">
        <v>0</v>
      </c>
      <c r="I58" s="47">
        <f t="shared" ref="I58:I68" si="25">E58+F58</f>
        <v>97916.319999999992</v>
      </c>
      <c r="J58" s="47">
        <v>76285.33</v>
      </c>
      <c r="K58" s="47">
        <v>271557.31</v>
      </c>
      <c r="L58" s="47">
        <v>0</v>
      </c>
      <c r="M58" t="b">
        <f t="shared" ref="M58:M68" si="26">C58-D58+I58-J58=K58-L58</f>
        <v>1</v>
      </c>
    </row>
    <row r="59" spans="1:13" hidden="1" outlineLevel="1" x14ac:dyDescent="0.25">
      <c r="B59" s="210">
        <v>43891</v>
      </c>
      <c r="C59" s="47">
        <f t="shared" ref="C59:C68" si="27">K58</f>
        <v>271557.31</v>
      </c>
      <c r="D59" s="47">
        <f t="shared" ref="D59:D68" si="28">L58</f>
        <v>0</v>
      </c>
      <c r="E59" s="47">
        <v>97916.479999999996</v>
      </c>
      <c r="F59" s="47">
        <v>0</v>
      </c>
      <c r="G59" s="47">
        <v>0</v>
      </c>
      <c r="H59" s="47">
        <v>0</v>
      </c>
      <c r="I59" s="47">
        <f t="shared" si="25"/>
        <v>97916.479999999996</v>
      </c>
      <c r="J59" s="47">
        <v>79437.460000000006</v>
      </c>
      <c r="K59" s="47">
        <v>290036.33</v>
      </c>
      <c r="L59" s="47">
        <v>0</v>
      </c>
      <c r="M59" t="b">
        <f t="shared" si="26"/>
        <v>1</v>
      </c>
    </row>
    <row r="60" spans="1:13" hidden="1" outlineLevel="1" x14ac:dyDescent="0.25">
      <c r="B60" s="210">
        <v>43922</v>
      </c>
      <c r="C60" s="47">
        <f t="shared" si="27"/>
        <v>290036.33</v>
      </c>
      <c r="D60" s="47">
        <f t="shared" si="28"/>
        <v>0</v>
      </c>
      <c r="E60" s="47">
        <v>97916.479999999996</v>
      </c>
      <c r="F60" s="47">
        <v>0</v>
      </c>
      <c r="G60" s="47">
        <v>0</v>
      </c>
      <c r="H60" s="47">
        <v>0</v>
      </c>
      <c r="I60" s="47">
        <f t="shared" si="25"/>
        <v>97916.479999999996</v>
      </c>
      <c r="J60" s="47">
        <v>70112.37</v>
      </c>
      <c r="K60" s="47">
        <v>317840.44</v>
      </c>
      <c r="L60" s="47">
        <v>0</v>
      </c>
      <c r="M60" t="b">
        <f t="shared" si="26"/>
        <v>1</v>
      </c>
    </row>
    <row r="61" spans="1:13" hidden="1" outlineLevel="1" x14ac:dyDescent="0.25">
      <c r="B61" s="210">
        <v>43952</v>
      </c>
      <c r="C61" s="47">
        <f t="shared" si="27"/>
        <v>317840.44</v>
      </c>
      <c r="D61" s="47">
        <f t="shared" si="28"/>
        <v>0</v>
      </c>
      <c r="E61" s="47">
        <v>97916.479999999996</v>
      </c>
      <c r="F61" s="47">
        <v>0</v>
      </c>
      <c r="G61" s="47">
        <v>0</v>
      </c>
      <c r="H61" s="47">
        <v>0</v>
      </c>
      <c r="I61" s="47">
        <f t="shared" si="25"/>
        <v>97916.479999999996</v>
      </c>
      <c r="J61" s="47">
        <v>68030.34</v>
      </c>
      <c r="K61" s="47">
        <v>347726.58</v>
      </c>
      <c r="L61" s="47">
        <v>0</v>
      </c>
      <c r="M61" t="b">
        <f t="shared" si="26"/>
        <v>1</v>
      </c>
    </row>
    <row r="62" spans="1:13" hidden="1" outlineLevel="1" x14ac:dyDescent="0.25">
      <c r="B62" s="210">
        <v>43983</v>
      </c>
      <c r="C62" s="47">
        <f t="shared" si="27"/>
        <v>347726.58</v>
      </c>
      <c r="D62" s="47">
        <f t="shared" si="28"/>
        <v>0</v>
      </c>
      <c r="E62" s="47">
        <v>97916.479999999996</v>
      </c>
      <c r="F62" s="47">
        <v>0</v>
      </c>
      <c r="G62" s="47">
        <v>0</v>
      </c>
      <c r="H62" s="47">
        <v>0</v>
      </c>
      <c r="I62" s="47">
        <f t="shared" si="25"/>
        <v>97916.479999999996</v>
      </c>
      <c r="J62" s="47">
        <v>68592.039999999994</v>
      </c>
      <c r="K62" s="47">
        <v>377051.02</v>
      </c>
      <c r="L62" s="47">
        <v>0</v>
      </c>
      <c r="M62" t="b">
        <f t="shared" si="26"/>
        <v>1</v>
      </c>
    </row>
    <row r="63" spans="1:13" hidden="1" outlineLevel="1" x14ac:dyDescent="0.25">
      <c r="B63" s="210">
        <v>44013</v>
      </c>
      <c r="C63" s="47">
        <f t="shared" si="27"/>
        <v>377051.02</v>
      </c>
      <c r="D63" s="47">
        <f t="shared" si="28"/>
        <v>0</v>
      </c>
      <c r="E63" s="47">
        <v>97954.02</v>
      </c>
      <c r="F63" s="47">
        <v>0</v>
      </c>
      <c r="G63" s="47">
        <v>0</v>
      </c>
      <c r="H63" s="47">
        <v>0</v>
      </c>
      <c r="I63" s="47">
        <f t="shared" si="25"/>
        <v>97954.02</v>
      </c>
      <c r="J63" s="47">
        <v>89149.15</v>
      </c>
      <c r="K63" s="47">
        <v>385855.89</v>
      </c>
      <c r="L63" s="47">
        <v>0</v>
      </c>
      <c r="M63" t="b">
        <f t="shared" si="26"/>
        <v>1</v>
      </c>
    </row>
    <row r="64" spans="1:13" hidden="1" outlineLevel="1" x14ac:dyDescent="0.25">
      <c r="B64" s="210">
        <v>44044</v>
      </c>
      <c r="C64" s="47">
        <f t="shared" si="27"/>
        <v>385855.89</v>
      </c>
      <c r="D64" s="47">
        <f t="shared" si="28"/>
        <v>0</v>
      </c>
      <c r="E64" s="47">
        <v>97954.02</v>
      </c>
      <c r="F64" s="47">
        <v>0</v>
      </c>
      <c r="G64" s="47">
        <v>0</v>
      </c>
      <c r="H64" s="47">
        <v>0</v>
      </c>
      <c r="I64" s="47">
        <f t="shared" si="25"/>
        <v>97954.02</v>
      </c>
      <c r="J64" s="47">
        <v>76101.570000000007</v>
      </c>
      <c r="K64" s="47">
        <v>408100.88</v>
      </c>
      <c r="L64" s="47">
        <v>392.54</v>
      </c>
      <c r="M64" t="b">
        <f t="shared" si="26"/>
        <v>1</v>
      </c>
    </row>
    <row r="65" spans="1:13" hidden="1" outlineLevel="1" x14ac:dyDescent="0.25">
      <c r="B65" s="210">
        <v>44075</v>
      </c>
      <c r="C65" s="47">
        <f t="shared" si="27"/>
        <v>408100.88</v>
      </c>
      <c r="D65" s="47">
        <f t="shared" si="28"/>
        <v>392.54</v>
      </c>
      <c r="E65" s="47">
        <v>97954.02</v>
      </c>
      <c r="F65" s="47">
        <v>0</v>
      </c>
      <c r="G65" s="47">
        <v>0</v>
      </c>
      <c r="H65" s="47">
        <v>0</v>
      </c>
      <c r="I65" s="47">
        <f t="shared" si="25"/>
        <v>97954.02</v>
      </c>
      <c r="J65" s="47">
        <v>84481.1</v>
      </c>
      <c r="K65" s="47">
        <v>421181.26</v>
      </c>
      <c r="L65" s="47">
        <v>0</v>
      </c>
      <c r="M65" t="b">
        <f t="shared" si="26"/>
        <v>1</v>
      </c>
    </row>
    <row r="66" spans="1:13" hidden="1" outlineLevel="1" x14ac:dyDescent="0.25">
      <c r="B66" s="210">
        <v>44105</v>
      </c>
      <c r="C66" s="47">
        <f t="shared" si="27"/>
        <v>421181.26</v>
      </c>
      <c r="D66" s="47">
        <f t="shared" si="28"/>
        <v>0</v>
      </c>
      <c r="E66" s="47">
        <v>98078.42</v>
      </c>
      <c r="F66" s="47">
        <v>0</v>
      </c>
      <c r="G66" s="47">
        <v>0</v>
      </c>
      <c r="H66" s="47">
        <v>0</v>
      </c>
      <c r="I66" s="47">
        <f t="shared" si="25"/>
        <v>98078.42</v>
      </c>
      <c r="J66" s="47">
        <v>77609.429999999993</v>
      </c>
      <c r="K66" s="47">
        <v>441650.25</v>
      </c>
      <c r="L66" s="47">
        <v>0</v>
      </c>
      <c r="M66" t="b">
        <f t="shared" si="26"/>
        <v>1</v>
      </c>
    </row>
    <row r="67" spans="1:13" hidden="1" outlineLevel="1" x14ac:dyDescent="0.25">
      <c r="B67" s="210">
        <v>44136</v>
      </c>
      <c r="C67" s="47">
        <f t="shared" si="27"/>
        <v>441650.25</v>
      </c>
      <c r="D67" s="47">
        <f t="shared" si="28"/>
        <v>0</v>
      </c>
      <c r="E67" s="47">
        <v>98078.42</v>
      </c>
      <c r="F67" s="47">
        <v>0</v>
      </c>
      <c r="G67" s="47">
        <v>0</v>
      </c>
      <c r="H67" s="47">
        <v>0</v>
      </c>
      <c r="I67" s="47">
        <f t="shared" si="25"/>
        <v>98078.42</v>
      </c>
      <c r="J67" s="47">
        <v>74570.55</v>
      </c>
      <c r="K67" s="47">
        <v>465158.12</v>
      </c>
      <c r="L67" s="47">
        <v>0</v>
      </c>
      <c r="M67" t="b">
        <f t="shared" si="26"/>
        <v>1</v>
      </c>
    </row>
    <row r="68" spans="1:13" hidden="1" outlineLevel="1" x14ac:dyDescent="0.25">
      <c r="B68" s="210">
        <v>44166</v>
      </c>
      <c r="C68" s="47">
        <f t="shared" si="27"/>
        <v>465158.12</v>
      </c>
      <c r="D68" s="47">
        <f t="shared" si="28"/>
        <v>0</v>
      </c>
      <c r="E68" s="47">
        <v>98078.42</v>
      </c>
      <c r="F68" s="47">
        <v>0</v>
      </c>
      <c r="G68" s="47">
        <v>0</v>
      </c>
      <c r="H68" s="47">
        <v>0</v>
      </c>
      <c r="I68" s="47">
        <f t="shared" si="25"/>
        <v>98078.42</v>
      </c>
      <c r="J68" s="47">
        <v>95750.95</v>
      </c>
      <c r="K68" s="211">
        <v>467485.59</v>
      </c>
      <c r="L68" s="211">
        <v>0</v>
      </c>
      <c r="M68" t="b">
        <f t="shared" si="26"/>
        <v>1</v>
      </c>
    </row>
    <row r="69" spans="1:13" collapsed="1" x14ac:dyDescent="0.25">
      <c r="A69" s="46" t="s">
        <v>2347</v>
      </c>
      <c r="B69" s="46"/>
      <c r="C69" s="211">
        <f>C70</f>
        <v>825631.41</v>
      </c>
      <c r="D69" s="211">
        <f>D70</f>
        <v>1498.74</v>
      </c>
      <c r="E69" s="211">
        <f>SUM(E70:E81)</f>
        <v>2876647.3299999991</v>
      </c>
      <c r="F69" s="211">
        <f t="shared" ref="F69:J69" si="29">SUM(F70:F81)</f>
        <v>-51527.110000000008</v>
      </c>
      <c r="G69" s="211">
        <f t="shared" si="29"/>
        <v>0</v>
      </c>
      <c r="H69" s="211">
        <f t="shared" si="29"/>
        <v>0</v>
      </c>
      <c r="I69" s="211">
        <f t="shared" si="29"/>
        <v>2825120.2199999993</v>
      </c>
      <c r="J69" s="211">
        <f t="shared" si="29"/>
        <v>2866908.8</v>
      </c>
      <c r="K69" s="211">
        <f>K81</f>
        <v>789430.24</v>
      </c>
      <c r="L69" s="211">
        <f>L81</f>
        <v>7086.15</v>
      </c>
      <c r="M69" s="46"/>
    </row>
    <row r="70" spans="1:13" hidden="1" outlineLevel="1" x14ac:dyDescent="0.25">
      <c r="B70" s="210">
        <v>43831</v>
      </c>
      <c r="C70" s="211">
        <v>825631.41</v>
      </c>
      <c r="D70" s="211">
        <v>1498.74</v>
      </c>
      <c r="E70" s="47">
        <v>488485.06</v>
      </c>
      <c r="F70" s="47">
        <v>-1965.38</v>
      </c>
      <c r="G70" s="47">
        <v>0</v>
      </c>
      <c r="H70" s="47">
        <v>0</v>
      </c>
      <c r="I70" s="47">
        <f>E70+F70</f>
        <v>486519.68</v>
      </c>
      <c r="J70" s="47">
        <v>196429.23</v>
      </c>
      <c r="K70" s="47">
        <v>1124472.1100000001</v>
      </c>
      <c r="L70" s="47">
        <v>10248.99</v>
      </c>
      <c r="M70" t="b">
        <f>C70-D70+I70-J70=K70-L70</f>
        <v>1</v>
      </c>
    </row>
    <row r="71" spans="1:13" hidden="1" outlineLevel="1" x14ac:dyDescent="0.25">
      <c r="B71" s="210">
        <v>43862</v>
      </c>
      <c r="C71" s="47">
        <f>K70</f>
        <v>1124472.1100000001</v>
      </c>
      <c r="D71" s="47">
        <f>L70</f>
        <v>10248.99</v>
      </c>
      <c r="E71" s="47">
        <v>390733.01</v>
      </c>
      <c r="F71" s="47">
        <v>-6212.17</v>
      </c>
      <c r="G71" s="47">
        <v>0</v>
      </c>
      <c r="H71" s="47">
        <v>0</v>
      </c>
      <c r="I71" s="47">
        <f t="shared" ref="I71:I81" si="30">E71+F71</f>
        <v>384520.84</v>
      </c>
      <c r="J71" s="47">
        <v>467192.31</v>
      </c>
      <c r="K71" s="47">
        <v>1044770.72</v>
      </c>
      <c r="L71" s="47">
        <v>13219.07</v>
      </c>
      <c r="M71" t="b">
        <f t="shared" ref="M71:M81" si="31">C71-D71+I71-J71=K71-L71</f>
        <v>1</v>
      </c>
    </row>
    <row r="72" spans="1:13" hidden="1" outlineLevel="1" x14ac:dyDescent="0.25">
      <c r="B72" s="210">
        <v>43891</v>
      </c>
      <c r="C72" s="47">
        <f t="shared" ref="C72:C81" si="32">K71</f>
        <v>1044770.72</v>
      </c>
      <c r="D72" s="47">
        <f t="shared" ref="D72:D81" si="33">L71</f>
        <v>13219.07</v>
      </c>
      <c r="E72" s="47">
        <v>361900.16</v>
      </c>
      <c r="F72" s="47">
        <v>661.11</v>
      </c>
      <c r="G72" s="47">
        <v>0</v>
      </c>
      <c r="H72" s="47">
        <v>0</v>
      </c>
      <c r="I72" s="47">
        <f t="shared" si="30"/>
        <v>362561.26999999996</v>
      </c>
      <c r="J72" s="47">
        <v>337625.09</v>
      </c>
      <c r="K72" s="47">
        <v>1067597.6000000001</v>
      </c>
      <c r="L72" s="47">
        <v>11109.77</v>
      </c>
      <c r="M72" t="b">
        <f t="shared" si="31"/>
        <v>1</v>
      </c>
    </row>
    <row r="73" spans="1:13" hidden="1" outlineLevel="1" x14ac:dyDescent="0.25">
      <c r="B73" s="210">
        <v>43922</v>
      </c>
      <c r="C73" s="47">
        <f t="shared" si="32"/>
        <v>1067597.6000000001</v>
      </c>
      <c r="D73" s="47">
        <f t="shared" si="33"/>
        <v>11109.77</v>
      </c>
      <c r="E73" s="47">
        <v>370721.46</v>
      </c>
      <c r="F73" s="47">
        <v>-21383.33</v>
      </c>
      <c r="G73" s="47">
        <v>0</v>
      </c>
      <c r="H73" s="47">
        <v>0</v>
      </c>
      <c r="I73" s="47">
        <f t="shared" si="30"/>
        <v>349338.13</v>
      </c>
      <c r="J73" s="47">
        <v>285368.51</v>
      </c>
      <c r="K73" s="47">
        <v>1131031.8799999999</v>
      </c>
      <c r="L73" s="47">
        <v>10574.43</v>
      </c>
      <c r="M73" t="b">
        <f t="shared" si="31"/>
        <v>1</v>
      </c>
    </row>
    <row r="74" spans="1:13" hidden="1" outlineLevel="1" x14ac:dyDescent="0.25">
      <c r="B74" s="210">
        <v>43952</v>
      </c>
      <c r="C74" s="47">
        <f t="shared" si="32"/>
        <v>1131031.8799999999</v>
      </c>
      <c r="D74" s="47">
        <f t="shared" si="33"/>
        <v>10574.43</v>
      </c>
      <c r="E74" s="47">
        <v>322230.03000000003</v>
      </c>
      <c r="F74" s="47">
        <v>0</v>
      </c>
      <c r="G74" s="47">
        <v>0</v>
      </c>
      <c r="H74" s="47">
        <v>0</v>
      </c>
      <c r="I74" s="47">
        <f t="shared" si="30"/>
        <v>322230.03000000003</v>
      </c>
      <c r="J74" s="47">
        <v>282139.26</v>
      </c>
      <c r="K74" s="47">
        <v>1170417.03</v>
      </c>
      <c r="L74" s="47">
        <v>9868.81</v>
      </c>
      <c r="M74" t="b">
        <f t="shared" si="31"/>
        <v>1</v>
      </c>
    </row>
    <row r="75" spans="1:13" hidden="1" outlineLevel="1" x14ac:dyDescent="0.25">
      <c r="B75" s="210">
        <v>43983</v>
      </c>
      <c r="C75" s="47">
        <f t="shared" si="32"/>
        <v>1170417.03</v>
      </c>
      <c r="D75" s="47">
        <f t="shared" si="33"/>
        <v>9868.81</v>
      </c>
      <c r="E75" s="47">
        <v>228285.47</v>
      </c>
      <c r="F75" s="47">
        <v>-863.63</v>
      </c>
      <c r="G75" s="47">
        <v>0</v>
      </c>
      <c r="H75" s="47">
        <v>0</v>
      </c>
      <c r="I75" s="47">
        <f t="shared" si="30"/>
        <v>227421.84</v>
      </c>
      <c r="J75" s="47">
        <v>280538.67</v>
      </c>
      <c r="K75" s="47">
        <v>1117661.28</v>
      </c>
      <c r="L75" s="47">
        <v>10229.89</v>
      </c>
      <c r="M75" t="b">
        <f t="shared" si="31"/>
        <v>1</v>
      </c>
    </row>
    <row r="76" spans="1:13" hidden="1" outlineLevel="1" x14ac:dyDescent="0.25">
      <c r="B76" s="210">
        <v>44013</v>
      </c>
      <c r="C76" s="47">
        <f t="shared" si="32"/>
        <v>1117661.28</v>
      </c>
      <c r="D76" s="47">
        <f t="shared" si="33"/>
        <v>10229.89</v>
      </c>
      <c r="E76" s="47">
        <v>186173.81</v>
      </c>
      <c r="F76" s="47">
        <v>0</v>
      </c>
      <c r="G76" s="47">
        <v>0</v>
      </c>
      <c r="H76" s="47">
        <v>0</v>
      </c>
      <c r="I76" s="47">
        <f t="shared" si="30"/>
        <v>186173.81</v>
      </c>
      <c r="J76" s="47">
        <v>265195.7</v>
      </c>
      <c r="K76" s="47">
        <v>1046367.22</v>
      </c>
      <c r="L76" s="47">
        <v>17957.72</v>
      </c>
      <c r="M76" t="b">
        <f t="shared" si="31"/>
        <v>1</v>
      </c>
    </row>
    <row r="77" spans="1:13" hidden="1" outlineLevel="1" x14ac:dyDescent="0.25">
      <c r="B77" s="210">
        <v>44044</v>
      </c>
      <c r="C77" s="47">
        <f t="shared" si="32"/>
        <v>1046367.22</v>
      </c>
      <c r="D77" s="47">
        <f t="shared" si="33"/>
        <v>17957.72</v>
      </c>
      <c r="E77" s="47">
        <v>189179.36</v>
      </c>
      <c r="F77" s="47">
        <v>-21663.31</v>
      </c>
      <c r="G77" s="47">
        <v>0</v>
      </c>
      <c r="H77" s="47">
        <v>0</v>
      </c>
      <c r="I77" s="47">
        <f t="shared" si="30"/>
        <v>167516.04999999999</v>
      </c>
      <c r="J77" s="47">
        <v>196673.38</v>
      </c>
      <c r="K77" s="47">
        <v>1017047.08</v>
      </c>
      <c r="L77" s="47">
        <v>17794.91</v>
      </c>
      <c r="M77" t="b">
        <f t="shared" si="31"/>
        <v>1</v>
      </c>
    </row>
    <row r="78" spans="1:13" hidden="1" outlineLevel="1" x14ac:dyDescent="0.25">
      <c r="B78" s="210">
        <v>44075</v>
      </c>
      <c r="C78" s="47">
        <f t="shared" si="32"/>
        <v>1017047.08</v>
      </c>
      <c r="D78" s="47">
        <f t="shared" si="33"/>
        <v>17794.91</v>
      </c>
      <c r="E78" s="47">
        <v>84563.57</v>
      </c>
      <c r="F78" s="47">
        <v>-100.4</v>
      </c>
      <c r="G78" s="47">
        <v>0</v>
      </c>
      <c r="H78" s="47">
        <v>0</v>
      </c>
      <c r="I78" s="47">
        <f t="shared" si="30"/>
        <v>84463.170000000013</v>
      </c>
      <c r="J78" s="47">
        <v>206864.88</v>
      </c>
      <c r="K78" s="47">
        <v>889802.76</v>
      </c>
      <c r="L78" s="47">
        <v>12952.3</v>
      </c>
      <c r="M78" t="b">
        <f t="shared" si="31"/>
        <v>1</v>
      </c>
    </row>
    <row r="79" spans="1:13" hidden="1" outlineLevel="1" x14ac:dyDescent="0.25">
      <c r="B79" s="210">
        <v>44105</v>
      </c>
      <c r="C79" s="47">
        <f t="shared" si="32"/>
        <v>889802.76</v>
      </c>
      <c r="D79" s="47">
        <f t="shared" si="33"/>
        <v>12952.3</v>
      </c>
      <c r="E79" s="47">
        <v>84791.8</v>
      </c>
      <c r="F79" s="47">
        <v>0</v>
      </c>
      <c r="G79" s="47">
        <v>0</v>
      </c>
      <c r="H79" s="47">
        <v>0</v>
      </c>
      <c r="I79" s="47">
        <f t="shared" si="30"/>
        <v>84791.8</v>
      </c>
      <c r="J79" s="47">
        <v>121241.96</v>
      </c>
      <c r="K79" s="47">
        <v>851911.88</v>
      </c>
      <c r="L79" s="47">
        <v>11511.58</v>
      </c>
      <c r="M79" t="b">
        <f t="shared" si="31"/>
        <v>1</v>
      </c>
    </row>
    <row r="80" spans="1:13" hidden="1" outlineLevel="1" x14ac:dyDescent="0.25">
      <c r="B80" s="210">
        <v>44136</v>
      </c>
      <c r="C80" s="47">
        <f t="shared" si="32"/>
        <v>851911.88</v>
      </c>
      <c r="D80" s="47">
        <f t="shared" si="33"/>
        <v>11511.58</v>
      </c>
      <c r="E80" s="47">
        <v>84791.8</v>
      </c>
      <c r="F80" s="47">
        <v>0</v>
      </c>
      <c r="G80" s="47">
        <v>0</v>
      </c>
      <c r="H80" s="47">
        <v>0</v>
      </c>
      <c r="I80" s="47">
        <f t="shared" si="30"/>
        <v>84791.8</v>
      </c>
      <c r="J80" s="47">
        <v>81731.210000000006</v>
      </c>
      <c r="K80" s="47">
        <v>851935.48</v>
      </c>
      <c r="L80" s="47">
        <v>8474.59</v>
      </c>
      <c r="M80" t="b">
        <f t="shared" si="31"/>
        <v>1</v>
      </c>
    </row>
    <row r="81" spans="1:13" hidden="1" outlineLevel="1" x14ac:dyDescent="0.25">
      <c r="B81" s="210">
        <v>44166</v>
      </c>
      <c r="C81" s="47">
        <f t="shared" si="32"/>
        <v>851935.48</v>
      </c>
      <c r="D81" s="47">
        <f t="shared" si="33"/>
        <v>8474.59</v>
      </c>
      <c r="E81" s="47">
        <v>84791.8</v>
      </c>
      <c r="F81" s="47">
        <v>0</v>
      </c>
      <c r="G81" s="47">
        <v>0</v>
      </c>
      <c r="H81" s="47">
        <v>0</v>
      </c>
      <c r="I81" s="47">
        <f t="shared" si="30"/>
        <v>84791.8</v>
      </c>
      <c r="J81" s="47">
        <v>145908.6</v>
      </c>
      <c r="K81" s="211">
        <v>789430.24</v>
      </c>
      <c r="L81" s="211">
        <v>7086.15</v>
      </c>
      <c r="M81" t="b">
        <f t="shared" si="31"/>
        <v>1</v>
      </c>
    </row>
    <row r="82" spans="1:13" collapsed="1" x14ac:dyDescent="0.25">
      <c r="A82" s="46" t="s">
        <v>2349</v>
      </c>
      <c r="B82" s="46"/>
      <c r="C82" s="211">
        <f>C83</f>
        <v>767019.85</v>
      </c>
      <c r="D82" s="211">
        <f>D83</f>
        <v>4041.75</v>
      </c>
      <c r="E82" s="211">
        <f>SUM(E83:E94)</f>
        <v>3748645.2100000004</v>
      </c>
      <c r="F82" s="211">
        <f t="shared" ref="F82:J82" si="34">SUM(F83:F94)</f>
        <v>-59724.210000000006</v>
      </c>
      <c r="G82" s="211">
        <f t="shared" si="34"/>
        <v>0</v>
      </c>
      <c r="H82" s="211">
        <f t="shared" si="34"/>
        <v>0</v>
      </c>
      <c r="I82" s="211">
        <f t="shared" si="34"/>
        <v>3688920.9999999995</v>
      </c>
      <c r="J82" s="211">
        <f t="shared" si="34"/>
        <v>3529389.2499999995</v>
      </c>
      <c r="K82" s="211">
        <f>K94</f>
        <v>930934.6</v>
      </c>
      <c r="L82" s="211">
        <f>L94</f>
        <v>8424.75</v>
      </c>
      <c r="M82" s="46"/>
    </row>
    <row r="83" spans="1:13" hidden="1" outlineLevel="1" x14ac:dyDescent="0.25">
      <c r="B83" s="210">
        <v>43831</v>
      </c>
      <c r="C83" s="211">
        <v>767019.85</v>
      </c>
      <c r="D83" s="211">
        <v>4041.75</v>
      </c>
      <c r="E83" s="47">
        <v>498432.16</v>
      </c>
      <c r="F83" s="47">
        <v>6577.96</v>
      </c>
      <c r="G83" s="47">
        <v>0</v>
      </c>
      <c r="H83" s="47">
        <v>0</v>
      </c>
      <c r="I83" s="47">
        <f>E83+F83</f>
        <v>505010.12</v>
      </c>
      <c r="J83" s="47">
        <v>222407.95</v>
      </c>
      <c r="K83" s="47">
        <v>1048916.08</v>
      </c>
      <c r="L83" s="47">
        <v>3335.81</v>
      </c>
      <c r="M83" t="b">
        <f>C83-D83+I83-J83=K83-L83</f>
        <v>1</v>
      </c>
    </row>
    <row r="84" spans="1:13" hidden="1" outlineLevel="1" x14ac:dyDescent="0.25">
      <c r="B84" s="210">
        <v>43862</v>
      </c>
      <c r="C84" s="47">
        <f>K83</f>
        <v>1048916.08</v>
      </c>
      <c r="D84" s="47">
        <f>L83</f>
        <v>3335.81</v>
      </c>
      <c r="E84" s="47">
        <v>402214.62</v>
      </c>
      <c r="F84" s="47">
        <v>-4953.42</v>
      </c>
      <c r="G84" s="47">
        <v>0</v>
      </c>
      <c r="H84" s="47">
        <v>0</v>
      </c>
      <c r="I84" s="47">
        <f t="shared" ref="I84:I94" si="35">E84+F84</f>
        <v>397261.2</v>
      </c>
      <c r="J84" s="47">
        <v>375585.69</v>
      </c>
      <c r="K84" s="47">
        <v>1078272.3</v>
      </c>
      <c r="L84" s="47">
        <v>11016.52</v>
      </c>
      <c r="M84" t="b">
        <f t="shared" ref="M84:M94" si="36">C84-D84+I84-J84=K84-L84</f>
        <v>1</v>
      </c>
    </row>
    <row r="85" spans="1:13" hidden="1" outlineLevel="1" x14ac:dyDescent="0.25">
      <c r="B85" s="210">
        <v>43891</v>
      </c>
      <c r="C85" s="47">
        <f t="shared" ref="C85:C94" si="37">K84</f>
        <v>1078272.3</v>
      </c>
      <c r="D85" s="47">
        <f t="shared" ref="D85:D94" si="38">L84</f>
        <v>11016.52</v>
      </c>
      <c r="E85" s="47">
        <v>374126.31</v>
      </c>
      <c r="F85" s="47">
        <v>-3715.93</v>
      </c>
      <c r="G85" s="47">
        <v>0</v>
      </c>
      <c r="H85" s="47">
        <v>0</v>
      </c>
      <c r="I85" s="47">
        <f t="shared" si="35"/>
        <v>370410.38</v>
      </c>
      <c r="J85" s="47">
        <v>421741.52</v>
      </c>
      <c r="K85" s="47">
        <v>1027214.09</v>
      </c>
      <c r="L85" s="47">
        <v>11289.45</v>
      </c>
      <c r="M85" t="b">
        <f t="shared" si="36"/>
        <v>1</v>
      </c>
    </row>
    <row r="86" spans="1:13" hidden="1" outlineLevel="1" x14ac:dyDescent="0.25">
      <c r="B86" s="210">
        <v>43922</v>
      </c>
      <c r="C86" s="47">
        <f t="shared" si="37"/>
        <v>1027214.09</v>
      </c>
      <c r="D86" s="47">
        <f t="shared" si="38"/>
        <v>11289.45</v>
      </c>
      <c r="E86" s="47">
        <v>364740.55</v>
      </c>
      <c r="F86" s="47">
        <v>-2546.11</v>
      </c>
      <c r="G86" s="47">
        <v>0</v>
      </c>
      <c r="H86" s="47">
        <v>0</v>
      </c>
      <c r="I86" s="47">
        <f t="shared" si="35"/>
        <v>362194.44</v>
      </c>
      <c r="J86" s="47">
        <v>303620.18</v>
      </c>
      <c r="K86" s="47">
        <v>1085333.1599999999</v>
      </c>
      <c r="L86" s="47">
        <v>10834.26</v>
      </c>
      <c r="M86" t="b">
        <f t="shared" si="36"/>
        <v>1</v>
      </c>
    </row>
    <row r="87" spans="1:13" hidden="1" outlineLevel="1" x14ac:dyDescent="0.25">
      <c r="B87" s="210">
        <v>43952</v>
      </c>
      <c r="C87" s="47">
        <f t="shared" si="37"/>
        <v>1085333.1599999999</v>
      </c>
      <c r="D87" s="47">
        <f t="shared" si="38"/>
        <v>10834.26</v>
      </c>
      <c r="E87" s="47">
        <v>312051.83</v>
      </c>
      <c r="F87" s="47">
        <v>0</v>
      </c>
      <c r="G87" s="47">
        <v>0</v>
      </c>
      <c r="H87" s="47">
        <v>0</v>
      </c>
      <c r="I87" s="47">
        <f t="shared" si="35"/>
        <v>312051.83</v>
      </c>
      <c r="J87" s="47">
        <v>325074.46999999997</v>
      </c>
      <c r="K87" s="47">
        <v>1071295.79</v>
      </c>
      <c r="L87" s="47">
        <v>9819.5300000000007</v>
      </c>
      <c r="M87" t="b">
        <f t="shared" si="36"/>
        <v>1</v>
      </c>
    </row>
    <row r="88" spans="1:13" hidden="1" outlineLevel="1" x14ac:dyDescent="0.25">
      <c r="B88" s="210">
        <v>43983</v>
      </c>
      <c r="C88" s="47">
        <f t="shared" si="37"/>
        <v>1071295.79</v>
      </c>
      <c r="D88" s="47">
        <f t="shared" si="38"/>
        <v>9819.5300000000007</v>
      </c>
      <c r="E88" s="47">
        <v>228281.63</v>
      </c>
      <c r="F88" s="47">
        <v>-804.77</v>
      </c>
      <c r="G88" s="47">
        <v>0</v>
      </c>
      <c r="H88" s="47">
        <v>0</v>
      </c>
      <c r="I88" s="47">
        <f t="shared" si="35"/>
        <v>227476.86000000002</v>
      </c>
      <c r="J88" s="47">
        <v>272300.03000000003</v>
      </c>
      <c r="K88" s="47">
        <v>1025316.39</v>
      </c>
      <c r="L88" s="47">
        <v>8663.2999999999993</v>
      </c>
      <c r="M88" t="b">
        <f t="shared" si="36"/>
        <v>1</v>
      </c>
    </row>
    <row r="89" spans="1:13" hidden="1" outlineLevel="1" x14ac:dyDescent="0.25">
      <c r="B89" s="210">
        <v>44013</v>
      </c>
      <c r="C89" s="47">
        <f t="shared" si="37"/>
        <v>1025316.39</v>
      </c>
      <c r="D89" s="47">
        <f t="shared" si="38"/>
        <v>8663.2999999999993</v>
      </c>
      <c r="E89" s="47">
        <v>197083.85</v>
      </c>
      <c r="F89" s="47">
        <v>8568.5300000000007</v>
      </c>
      <c r="G89" s="47">
        <v>0</v>
      </c>
      <c r="H89" s="47">
        <v>0</v>
      </c>
      <c r="I89" s="47">
        <f t="shared" si="35"/>
        <v>205652.38</v>
      </c>
      <c r="J89" s="47">
        <v>242938.85</v>
      </c>
      <c r="K89" s="47">
        <v>987337.39</v>
      </c>
      <c r="L89" s="47">
        <v>7970.77</v>
      </c>
      <c r="M89" t="b">
        <f t="shared" si="36"/>
        <v>1</v>
      </c>
    </row>
    <row r="90" spans="1:13" hidden="1" outlineLevel="1" x14ac:dyDescent="0.25">
      <c r="B90" s="210">
        <v>44044</v>
      </c>
      <c r="C90" s="47">
        <f t="shared" si="37"/>
        <v>987337.39</v>
      </c>
      <c r="D90" s="47">
        <f t="shared" si="38"/>
        <v>7970.77</v>
      </c>
      <c r="E90" s="47">
        <v>199458.22</v>
      </c>
      <c r="F90" s="47">
        <v>-26392.12</v>
      </c>
      <c r="G90" s="47">
        <v>0</v>
      </c>
      <c r="H90" s="47">
        <v>0</v>
      </c>
      <c r="I90" s="47">
        <f t="shared" si="35"/>
        <v>173066.1</v>
      </c>
      <c r="J90" s="47">
        <v>182929.45</v>
      </c>
      <c r="K90" s="47">
        <v>978723.11</v>
      </c>
      <c r="L90" s="47">
        <v>9219.84</v>
      </c>
      <c r="M90" t="b">
        <f t="shared" si="36"/>
        <v>1</v>
      </c>
    </row>
    <row r="91" spans="1:13" hidden="1" outlineLevel="1" x14ac:dyDescent="0.25">
      <c r="B91" s="210">
        <v>44075</v>
      </c>
      <c r="C91" s="47">
        <f t="shared" si="37"/>
        <v>978723.11</v>
      </c>
      <c r="D91" s="47">
        <f t="shared" si="38"/>
        <v>9219.84</v>
      </c>
      <c r="E91" s="47">
        <v>197248.07</v>
      </c>
      <c r="F91" s="47">
        <v>-16618.02</v>
      </c>
      <c r="G91" s="47">
        <v>0</v>
      </c>
      <c r="H91" s="47">
        <v>0</v>
      </c>
      <c r="I91" s="47">
        <f t="shared" si="35"/>
        <v>180630.05000000002</v>
      </c>
      <c r="J91" s="47">
        <v>213765.38</v>
      </c>
      <c r="K91" s="47">
        <v>956925.01</v>
      </c>
      <c r="L91" s="47">
        <v>20557.07</v>
      </c>
      <c r="M91" t="b">
        <f t="shared" si="36"/>
        <v>1</v>
      </c>
    </row>
    <row r="92" spans="1:13" hidden="1" outlineLevel="1" x14ac:dyDescent="0.25">
      <c r="B92" s="210">
        <v>44105</v>
      </c>
      <c r="C92" s="47">
        <f t="shared" si="37"/>
        <v>956925.01</v>
      </c>
      <c r="D92" s="47">
        <f t="shared" si="38"/>
        <v>20557.07</v>
      </c>
      <c r="E92" s="47">
        <v>323527.62</v>
      </c>
      <c r="F92" s="47">
        <v>-2832.55</v>
      </c>
      <c r="G92" s="47">
        <v>0</v>
      </c>
      <c r="H92" s="47">
        <v>0</v>
      </c>
      <c r="I92" s="47">
        <f t="shared" si="35"/>
        <v>320695.07</v>
      </c>
      <c r="J92" s="47">
        <v>230891.07</v>
      </c>
      <c r="K92" s="47">
        <v>1035003.98</v>
      </c>
      <c r="L92" s="47">
        <v>8832.0400000000009</v>
      </c>
      <c r="M92" t="b">
        <f t="shared" si="36"/>
        <v>1</v>
      </c>
    </row>
    <row r="93" spans="1:13" hidden="1" outlineLevel="1" x14ac:dyDescent="0.25">
      <c r="B93" s="210">
        <v>44136</v>
      </c>
      <c r="C93" s="47">
        <f t="shared" si="37"/>
        <v>1035003.98</v>
      </c>
      <c r="D93" s="47">
        <f t="shared" si="38"/>
        <v>8832.0400000000009</v>
      </c>
      <c r="E93" s="47">
        <v>340927.7</v>
      </c>
      <c r="F93" s="47">
        <v>-15166.26</v>
      </c>
      <c r="G93" s="47">
        <v>0</v>
      </c>
      <c r="H93" s="47">
        <v>0</v>
      </c>
      <c r="I93" s="47">
        <f t="shared" si="35"/>
        <v>325761.44</v>
      </c>
      <c r="J93" s="47">
        <v>316048.01</v>
      </c>
      <c r="K93" s="47">
        <v>1045280.86</v>
      </c>
      <c r="L93" s="47">
        <v>9395.49</v>
      </c>
      <c r="M93" t="b">
        <f t="shared" si="36"/>
        <v>1</v>
      </c>
    </row>
    <row r="94" spans="1:13" hidden="1" outlineLevel="1" x14ac:dyDescent="0.25">
      <c r="B94" s="210">
        <v>44166</v>
      </c>
      <c r="C94" s="47">
        <f t="shared" si="37"/>
        <v>1045280.86</v>
      </c>
      <c r="D94" s="47">
        <f t="shared" si="38"/>
        <v>9395.49</v>
      </c>
      <c r="E94" s="47">
        <v>310552.65000000002</v>
      </c>
      <c r="F94" s="47">
        <v>-1841.52</v>
      </c>
      <c r="G94" s="47">
        <v>0</v>
      </c>
      <c r="H94" s="47">
        <v>0</v>
      </c>
      <c r="I94" s="47">
        <f t="shared" si="35"/>
        <v>308711.13</v>
      </c>
      <c r="J94" s="47">
        <v>422086.65</v>
      </c>
      <c r="K94" s="211">
        <v>930934.6</v>
      </c>
      <c r="L94" s="211">
        <v>8424.75</v>
      </c>
      <c r="M94" t="b">
        <f t="shared" si="36"/>
        <v>1</v>
      </c>
    </row>
    <row r="95" spans="1:13" collapsed="1" x14ac:dyDescent="0.25">
      <c r="A95" s="46" t="s">
        <v>2350</v>
      </c>
      <c r="B95" s="46"/>
      <c r="C95" s="211">
        <f>C96</f>
        <v>66005.89</v>
      </c>
      <c r="D95" s="211">
        <f>D96</f>
        <v>1.66</v>
      </c>
      <c r="E95" s="211">
        <f>SUM(E96:E107)</f>
        <v>752531.58</v>
      </c>
      <c r="F95" s="211">
        <f t="shared" ref="F95:J95" si="39">SUM(F96:F107)</f>
        <v>-4913.17</v>
      </c>
      <c r="G95" s="211">
        <f t="shared" si="39"/>
        <v>0</v>
      </c>
      <c r="H95" s="211">
        <f t="shared" si="39"/>
        <v>0</v>
      </c>
      <c r="I95" s="211">
        <f t="shared" si="39"/>
        <v>747618.41</v>
      </c>
      <c r="J95" s="211">
        <f t="shared" si="39"/>
        <v>770366.98</v>
      </c>
      <c r="K95" s="211">
        <f>K107</f>
        <v>43808.03</v>
      </c>
      <c r="L95" s="211">
        <f>L107</f>
        <v>552.37</v>
      </c>
      <c r="M95" s="46"/>
    </row>
    <row r="96" spans="1:13" hidden="1" outlineLevel="1" x14ac:dyDescent="0.25">
      <c r="B96" s="210">
        <v>43831</v>
      </c>
      <c r="C96" s="211">
        <v>66005.89</v>
      </c>
      <c r="D96" s="211">
        <v>1.66</v>
      </c>
      <c r="E96" s="47">
        <v>64995.5</v>
      </c>
      <c r="F96" s="47">
        <v>-3318.24</v>
      </c>
      <c r="G96" s="47">
        <v>0</v>
      </c>
      <c r="H96" s="47">
        <v>0</v>
      </c>
      <c r="I96" s="47">
        <f>E96+F96</f>
        <v>61677.26</v>
      </c>
      <c r="J96" s="47">
        <v>28392.98</v>
      </c>
      <c r="K96" s="47">
        <v>99288.51</v>
      </c>
      <c r="L96" s="47">
        <v>0</v>
      </c>
      <c r="M96" t="b">
        <f>C96-D96+I96-J96=K96-L96</f>
        <v>1</v>
      </c>
    </row>
    <row r="97" spans="1:13" hidden="1" outlineLevel="1" x14ac:dyDescent="0.25">
      <c r="B97" s="210">
        <v>43862</v>
      </c>
      <c r="C97" s="47">
        <f>K96</f>
        <v>99288.51</v>
      </c>
      <c r="D97" s="47">
        <f>L96</f>
        <v>0</v>
      </c>
      <c r="E97" s="47">
        <v>62321.57</v>
      </c>
      <c r="F97" s="47">
        <v>0</v>
      </c>
      <c r="G97" s="47">
        <v>0</v>
      </c>
      <c r="H97" s="47">
        <v>0</v>
      </c>
      <c r="I97" s="47">
        <f t="shared" ref="I97:I107" si="40">E97+F97</f>
        <v>62321.57</v>
      </c>
      <c r="J97" s="47">
        <v>61040.24</v>
      </c>
      <c r="K97" s="47">
        <v>100569.84</v>
      </c>
      <c r="L97" s="47">
        <v>0</v>
      </c>
      <c r="M97" t="b">
        <f t="shared" ref="M97:M107" si="41">C97-D97+I97-J97=K97-L97</f>
        <v>1</v>
      </c>
    </row>
    <row r="98" spans="1:13" hidden="1" outlineLevel="1" x14ac:dyDescent="0.25">
      <c r="B98" s="210">
        <v>43891</v>
      </c>
      <c r="C98" s="47">
        <f t="shared" ref="C98:C107" si="42">K97</f>
        <v>100569.84</v>
      </c>
      <c r="D98" s="47">
        <f t="shared" ref="D98:D107" si="43">L97</f>
        <v>0</v>
      </c>
      <c r="E98" s="47">
        <v>61953.97</v>
      </c>
      <c r="F98" s="47">
        <v>0</v>
      </c>
      <c r="G98" s="47">
        <v>0</v>
      </c>
      <c r="H98" s="47">
        <v>0</v>
      </c>
      <c r="I98" s="47">
        <f t="shared" si="40"/>
        <v>61953.97</v>
      </c>
      <c r="J98" s="47">
        <v>57562.71</v>
      </c>
      <c r="K98" s="47">
        <v>104961.1</v>
      </c>
      <c r="L98" s="47">
        <v>0</v>
      </c>
      <c r="M98" t="b">
        <f t="shared" si="41"/>
        <v>1</v>
      </c>
    </row>
    <row r="99" spans="1:13" hidden="1" outlineLevel="1" x14ac:dyDescent="0.25">
      <c r="B99" s="210">
        <v>43922</v>
      </c>
      <c r="C99" s="47">
        <f t="shared" si="42"/>
        <v>104961.1</v>
      </c>
      <c r="D99" s="47">
        <f t="shared" si="43"/>
        <v>0</v>
      </c>
      <c r="E99" s="47">
        <v>61429.51</v>
      </c>
      <c r="F99" s="47">
        <v>0</v>
      </c>
      <c r="G99" s="47">
        <v>0</v>
      </c>
      <c r="H99" s="47">
        <v>0</v>
      </c>
      <c r="I99" s="47">
        <f t="shared" si="40"/>
        <v>61429.51</v>
      </c>
      <c r="J99" s="47">
        <v>88326.65</v>
      </c>
      <c r="K99" s="47">
        <v>78063.960000000006</v>
      </c>
      <c r="L99" s="47">
        <v>0</v>
      </c>
      <c r="M99" t="b">
        <f t="shared" si="41"/>
        <v>1</v>
      </c>
    </row>
    <row r="100" spans="1:13" hidden="1" outlineLevel="1" x14ac:dyDescent="0.25">
      <c r="B100" s="210">
        <v>43952</v>
      </c>
      <c r="C100" s="47">
        <f t="shared" si="42"/>
        <v>78063.960000000006</v>
      </c>
      <c r="D100" s="47">
        <f t="shared" si="43"/>
        <v>0</v>
      </c>
      <c r="E100" s="47">
        <v>61483.07</v>
      </c>
      <c r="F100" s="47">
        <v>0</v>
      </c>
      <c r="G100" s="47">
        <v>0</v>
      </c>
      <c r="H100" s="47">
        <v>0</v>
      </c>
      <c r="I100" s="47">
        <f t="shared" si="40"/>
        <v>61483.07</v>
      </c>
      <c r="J100" s="47">
        <v>61066.98</v>
      </c>
      <c r="K100" s="47">
        <v>78480.05</v>
      </c>
      <c r="L100" s="47">
        <v>0</v>
      </c>
      <c r="M100" t="b">
        <f t="shared" si="41"/>
        <v>1</v>
      </c>
    </row>
    <row r="101" spans="1:13" hidden="1" outlineLevel="1" x14ac:dyDescent="0.25">
      <c r="B101" s="210">
        <v>43983</v>
      </c>
      <c r="C101" s="47">
        <f t="shared" si="42"/>
        <v>78480.05</v>
      </c>
      <c r="D101" s="47">
        <f t="shared" si="43"/>
        <v>0</v>
      </c>
      <c r="E101" s="47">
        <v>63948.9</v>
      </c>
      <c r="F101" s="47">
        <v>0</v>
      </c>
      <c r="G101" s="47">
        <v>0</v>
      </c>
      <c r="H101" s="47">
        <v>0</v>
      </c>
      <c r="I101" s="47">
        <f t="shared" si="40"/>
        <v>63948.9</v>
      </c>
      <c r="J101" s="47">
        <v>54570.5</v>
      </c>
      <c r="K101" s="47">
        <v>87858.45</v>
      </c>
      <c r="L101" s="47">
        <v>0</v>
      </c>
      <c r="M101" t="b">
        <f t="shared" si="41"/>
        <v>1</v>
      </c>
    </row>
    <row r="102" spans="1:13" hidden="1" outlineLevel="1" x14ac:dyDescent="0.25">
      <c r="B102" s="210">
        <v>44013</v>
      </c>
      <c r="C102" s="47">
        <f t="shared" si="42"/>
        <v>87858.45</v>
      </c>
      <c r="D102" s="47">
        <f t="shared" si="43"/>
        <v>0</v>
      </c>
      <c r="E102" s="47">
        <v>61898.43</v>
      </c>
      <c r="F102" s="47">
        <v>0</v>
      </c>
      <c r="G102" s="47">
        <v>0</v>
      </c>
      <c r="H102" s="47">
        <v>0</v>
      </c>
      <c r="I102" s="47">
        <f t="shared" si="40"/>
        <v>61898.43</v>
      </c>
      <c r="J102" s="47">
        <v>62988.47</v>
      </c>
      <c r="K102" s="47">
        <v>86768.41</v>
      </c>
      <c r="L102" s="47">
        <v>0</v>
      </c>
      <c r="M102" t="b">
        <f t="shared" si="41"/>
        <v>1</v>
      </c>
    </row>
    <row r="103" spans="1:13" hidden="1" outlineLevel="1" x14ac:dyDescent="0.25">
      <c r="B103" s="210">
        <v>44044</v>
      </c>
      <c r="C103" s="47">
        <f t="shared" si="42"/>
        <v>86768.41</v>
      </c>
      <c r="D103" s="47">
        <f t="shared" si="43"/>
        <v>0</v>
      </c>
      <c r="E103" s="47">
        <v>62541.68</v>
      </c>
      <c r="F103" s="47">
        <v>-1090.92</v>
      </c>
      <c r="G103" s="47">
        <v>0</v>
      </c>
      <c r="H103" s="47">
        <v>0</v>
      </c>
      <c r="I103" s="47">
        <f t="shared" si="40"/>
        <v>61450.76</v>
      </c>
      <c r="J103" s="47">
        <v>55382.47</v>
      </c>
      <c r="K103" s="47">
        <v>92836.7</v>
      </c>
      <c r="L103" s="47">
        <v>0</v>
      </c>
      <c r="M103" t="b">
        <f t="shared" si="41"/>
        <v>1</v>
      </c>
    </row>
    <row r="104" spans="1:13" hidden="1" outlineLevel="1" x14ac:dyDescent="0.25">
      <c r="B104" s="210">
        <v>44075</v>
      </c>
      <c r="C104" s="47">
        <f t="shared" si="42"/>
        <v>92836.7</v>
      </c>
      <c r="D104" s="47">
        <f t="shared" si="43"/>
        <v>0</v>
      </c>
      <c r="E104" s="47">
        <v>62399.09</v>
      </c>
      <c r="F104" s="47">
        <v>-504.01</v>
      </c>
      <c r="G104" s="47">
        <v>0</v>
      </c>
      <c r="H104" s="47">
        <v>0</v>
      </c>
      <c r="I104" s="47">
        <f t="shared" si="40"/>
        <v>61895.079999999994</v>
      </c>
      <c r="J104" s="47">
        <v>61095.73</v>
      </c>
      <c r="K104" s="47">
        <v>94005.53</v>
      </c>
      <c r="L104" s="47">
        <v>369.48</v>
      </c>
      <c r="M104" t="b">
        <f t="shared" si="41"/>
        <v>1</v>
      </c>
    </row>
    <row r="105" spans="1:13" hidden="1" outlineLevel="1" x14ac:dyDescent="0.25">
      <c r="B105" s="210">
        <v>44105</v>
      </c>
      <c r="C105" s="47">
        <f t="shared" si="42"/>
        <v>94005.53</v>
      </c>
      <c r="D105" s="47">
        <f t="shared" si="43"/>
        <v>369.48</v>
      </c>
      <c r="E105" s="47">
        <v>62119.51</v>
      </c>
      <c r="F105" s="47">
        <v>0</v>
      </c>
      <c r="G105" s="47">
        <v>0</v>
      </c>
      <c r="H105" s="47">
        <v>0</v>
      </c>
      <c r="I105" s="47">
        <f t="shared" si="40"/>
        <v>62119.51</v>
      </c>
      <c r="J105" s="47">
        <v>93941.38</v>
      </c>
      <c r="K105" s="47">
        <v>61814.18</v>
      </c>
      <c r="L105" s="47">
        <v>0</v>
      </c>
      <c r="M105" t="b">
        <f t="shared" si="41"/>
        <v>1</v>
      </c>
    </row>
    <row r="106" spans="1:13" hidden="1" outlineLevel="1" x14ac:dyDescent="0.25">
      <c r="B106" s="210">
        <v>44136</v>
      </c>
      <c r="C106" s="47">
        <f t="shared" si="42"/>
        <v>61814.18</v>
      </c>
      <c r="D106" s="47">
        <f t="shared" si="43"/>
        <v>0</v>
      </c>
      <c r="E106" s="47">
        <v>63874.87</v>
      </c>
      <c r="F106" s="47">
        <v>0</v>
      </c>
      <c r="G106" s="47">
        <v>0</v>
      </c>
      <c r="H106" s="47">
        <v>0</v>
      </c>
      <c r="I106" s="47">
        <f t="shared" si="40"/>
        <v>63874.87</v>
      </c>
      <c r="J106" s="47">
        <v>57679.41</v>
      </c>
      <c r="K106" s="47">
        <v>68009.64</v>
      </c>
      <c r="L106" s="47">
        <v>0</v>
      </c>
      <c r="M106" t="b">
        <f t="shared" si="41"/>
        <v>1</v>
      </c>
    </row>
    <row r="107" spans="1:13" hidden="1" outlineLevel="1" x14ac:dyDescent="0.25">
      <c r="B107" s="210">
        <v>44166</v>
      </c>
      <c r="C107" s="47">
        <f t="shared" si="42"/>
        <v>68009.64</v>
      </c>
      <c r="D107" s="47">
        <f t="shared" si="43"/>
        <v>0</v>
      </c>
      <c r="E107" s="47">
        <v>63565.48</v>
      </c>
      <c r="F107" s="47">
        <v>0</v>
      </c>
      <c r="G107" s="47">
        <v>0</v>
      </c>
      <c r="H107" s="47">
        <v>0</v>
      </c>
      <c r="I107" s="47">
        <f t="shared" si="40"/>
        <v>63565.48</v>
      </c>
      <c r="J107" s="47">
        <v>88319.46</v>
      </c>
      <c r="K107" s="211">
        <v>43808.03</v>
      </c>
      <c r="L107" s="211">
        <v>552.37</v>
      </c>
      <c r="M107" t="b">
        <f t="shared" si="41"/>
        <v>1</v>
      </c>
    </row>
    <row r="108" spans="1:13" collapsed="1" x14ac:dyDescent="0.25">
      <c r="A108" s="46" t="s">
        <v>2351</v>
      </c>
      <c r="B108" s="46"/>
      <c r="C108" s="211">
        <f>C109</f>
        <v>3169.54</v>
      </c>
      <c r="D108" s="211">
        <f>D109</f>
        <v>0</v>
      </c>
      <c r="E108" s="211">
        <f>SUM(E109:E120)</f>
        <v>20004.82</v>
      </c>
      <c r="F108" s="211">
        <f t="shared" ref="F108:J108" si="44">SUM(F109:F120)</f>
        <v>0</v>
      </c>
      <c r="G108" s="211">
        <f t="shared" si="44"/>
        <v>0</v>
      </c>
      <c r="H108" s="211">
        <f t="shared" si="44"/>
        <v>0</v>
      </c>
      <c r="I108" s="211">
        <f t="shared" si="44"/>
        <v>20004.82</v>
      </c>
      <c r="J108" s="211">
        <f t="shared" si="44"/>
        <v>21119.78</v>
      </c>
      <c r="K108" s="211">
        <f>K120</f>
        <v>2054.58</v>
      </c>
      <c r="L108" s="211">
        <f>L120</f>
        <v>0</v>
      </c>
      <c r="M108" s="46"/>
    </row>
    <row r="109" spans="1:13" hidden="1" outlineLevel="1" x14ac:dyDescent="0.25">
      <c r="B109" s="210">
        <v>43831</v>
      </c>
      <c r="C109" s="211">
        <v>3169.54</v>
      </c>
      <c r="D109" s="211">
        <v>0</v>
      </c>
      <c r="E109" s="47">
        <v>1585.13</v>
      </c>
      <c r="F109" s="47">
        <v>0</v>
      </c>
      <c r="G109" s="47">
        <v>0</v>
      </c>
      <c r="H109" s="47">
        <v>0</v>
      </c>
      <c r="I109" s="47">
        <f>E109+F109</f>
        <v>1585.13</v>
      </c>
      <c r="J109" s="47">
        <v>3169.54</v>
      </c>
      <c r="K109" s="47">
        <v>1585.13</v>
      </c>
      <c r="L109" s="47">
        <v>0</v>
      </c>
      <c r="M109" t="b">
        <f>C109-D109+I109-J109=K109-L109</f>
        <v>1</v>
      </c>
    </row>
    <row r="110" spans="1:13" hidden="1" outlineLevel="1" x14ac:dyDescent="0.25">
      <c r="B110" s="210">
        <v>43862</v>
      </c>
      <c r="C110" s="47">
        <f>K109</f>
        <v>1585.13</v>
      </c>
      <c r="D110" s="47">
        <f>L109</f>
        <v>0</v>
      </c>
      <c r="E110" s="47">
        <v>1585.13</v>
      </c>
      <c r="F110" s="47">
        <v>0</v>
      </c>
      <c r="G110" s="47">
        <v>0</v>
      </c>
      <c r="H110" s="47">
        <v>0</v>
      </c>
      <c r="I110" s="47">
        <f t="shared" ref="I110:I120" si="45">E110+F110</f>
        <v>1585.13</v>
      </c>
      <c r="J110" s="47">
        <v>1587.59</v>
      </c>
      <c r="K110" s="47">
        <v>1582.67</v>
      </c>
      <c r="L110" s="47">
        <v>0</v>
      </c>
      <c r="M110" t="b">
        <f t="shared" ref="M110:M120" si="46">C110-D110+I110-J110=K110-L110</f>
        <v>1</v>
      </c>
    </row>
    <row r="111" spans="1:13" hidden="1" outlineLevel="1" x14ac:dyDescent="0.25">
      <c r="B111" s="210">
        <v>43891</v>
      </c>
      <c r="C111" s="47">
        <f t="shared" ref="C111:C120" si="47">K110</f>
        <v>1582.67</v>
      </c>
      <c r="D111" s="47">
        <f t="shared" ref="D111:D120" si="48">L110</f>
        <v>0</v>
      </c>
      <c r="E111" s="47">
        <v>1585.13</v>
      </c>
      <c r="F111" s="47">
        <v>0</v>
      </c>
      <c r="G111" s="47">
        <v>0</v>
      </c>
      <c r="H111" s="47">
        <v>0</v>
      </c>
      <c r="I111" s="47">
        <f t="shared" si="45"/>
        <v>1585.13</v>
      </c>
      <c r="J111" s="47">
        <v>1582.67</v>
      </c>
      <c r="K111" s="47">
        <v>1585.13</v>
      </c>
      <c r="L111" s="47">
        <v>0</v>
      </c>
      <c r="M111" t="b">
        <f t="shared" si="46"/>
        <v>1</v>
      </c>
    </row>
    <row r="112" spans="1:13" hidden="1" outlineLevel="1" x14ac:dyDescent="0.25">
      <c r="B112" s="210">
        <v>43922</v>
      </c>
      <c r="C112" s="47">
        <f t="shared" si="47"/>
        <v>1585.13</v>
      </c>
      <c r="D112" s="47">
        <f t="shared" si="48"/>
        <v>0</v>
      </c>
      <c r="E112" s="47">
        <v>1585.13</v>
      </c>
      <c r="F112" s="47">
        <v>0</v>
      </c>
      <c r="G112" s="47">
        <v>0</v>
      </c>
      <c r="H112" s="47">
        <v>0</v>
      </c>
      <c r="I112" s="47">
        <f t="shared" si="45"/>
        <v>1585.13</v>
      </c>
      <c r="J112" s="47">
        <v>1585.13</v>
      </c>
      <c r="K112" s="47">
        <v>1585.13</v>
      </c>
      <c r="L112" s="47">
        <v>0</v>
      </c>
      <c r="M112" t="b">
        <f t="shared" si="46"/>
        <v>1</v>
      </c>
    </row>
    <row r="113" spans="1:13" hidden="1" outlineLevel="1" x14ac:dyDescent="0.25">
      <c r="B113" s="210">
        <v>43952</v>
      </c>
      <c r="C113" s="47">
        <f t="shared" si="47"/>
        <v>1585.13</v>
      </c>
      <c r="D113" s="47">
        <f t="shared" si="48"/>
        <v>0</v>
      </c>
      <c r="E113" s="47">
        <v>1585.13</v>
      </c>
      <c r="F113" s="47">
        <v>0</v>
      </c>
      <c r="G113" s="47">
        <v>0</v>
      </c>
      <c r="H113" s="47">
        <v>0</v>
      </c>
      <c r="I113" s="47">
        <f t="shared" si="45"/>
        <v>1585.13</v>
      </c>
      <c r="J113" s="47">
        <v>0</v>
      </c>
      <c r="K113" s="47">
        <v>3170.26</v>
      </c>
      <c r="L113" s="47">
        <v>0</v>
      </c>
      <c r="M113" t="b">
        <f t="shared" si="46"/>
        <v>1</v>
      </c>
    </row>
    <row r="114" spans="1:13" hidden="1" outlineLevel="1" x14ac:dyDescent="0.25">
      <c r="B114" s="210">
        <v>43983</v>
      </c>
      <c r="C114" s="47">
        <f t="shared" si="47"/>
        <v>3170.26</v>
      </c>
      <c r="D114" s="47">
        <f t="shared" si="48"/>
        <v>0</v>
      </c>
      <c r="E114" s="47">
        <v>1585.13</v>
      </c>
      <c r="F114" s="47">
        <v>0</v>
      </c>
      <c r="G114" s="47">
        <v>0</v>
      </c>
      <c r="H114" s="47">
        <v>0</v>
      </c>
      <c r="I114" s="47">
        <f t="shared" si="45"/>
        <v>1585.13</v>
      </c>
      <c r="J114" s="47">
        <v>3170.26</v>
      </c>
      <c r="K114" s="47">
        <v>1585.13</v>
      </c>
      <c r="L114" s="47">
        <v>0</v>
      </c>
      <c r="M114" t="b">
        <f t="shared" si="46"/>
        <v>1</v>
      </c>
    </row>
    <row r="115" spans="1:13" hidden="1" outlineLevel="1" x14ac:dyDescent="0.25">
      <c r="B115" s="210">
        <v>44013</v>
      </c>
      <c r="C115" s="47">
        <f t="shared" si="47"/>
        <v>1585.13</v>
      </c>
      <c r="D115" s="47">
        <f t="shared" si="48"/>
        <v>0</v>
      </c>
      <c r="E115" s="47">
        <v>1596.22</v>
      </c>
      <c r="F115" s="47">
        <v>0</v>
      </c>
      <c r="G115" s="47">
        <v>0</v>
      </c>
      <c r="H115" s="47">
        <v>0</v>
      </c>
      <c r="I115" s="47">
        <f t="shared" si="45"/>
        <v>1596.22</v>
      </c>
      <c r="J115" s="47">
        <v>1585.13</v>
      </c>
      <c r="K115" s="47">
        <v>1596.22</v>
      </c>
      <c r="L115" s="47">
        <v>0</v>
      </c>
      <c r="M115" t="b">
        <f t="shared" si="46"/>
        <v>1</v>
      </c>
    </row>
    <row r="116" spans="1:13" hidden="1" outlineLevel="1" x14ac:dyDescent="0.25">
      <c r="B116" s="210">
        <v>44044</v>
      </c>
      <c r="C116" s="47">
        <f t="shared" si="47"/>
        <v>1596.22</v>
      </c>
      <c r="D116" s="47">
        <f t="shared" si="48"/>
        <v>0</v>
      </c>
      <c r="E116" s="47">
        <v>1596.22</v>
      </c>
      <c r="F116" s="47">
        <v>0</v>
      </c>
      <c r="G116" s="47">
        <v>0</v>
      </c>
      <c r="H116" s="47">
        <v>0</v>
      </c>
      <c r="I116" s="47">
        <f t="shared" si="45"/>
        <v>1596.22</v>
      </c>
      <c r="J116" s="47">
        <v>1596.22</v>
      </c>
      <c r="K116" s="47">
        <v>1596.22</v>
      </c>
      <c r="L116" s="47">
        <v>0</v>
      </c>
      <c r="M116" t="b">
        <f t="shared" si="46"/>
        <v>1</v>
      </c>
    </row>
    <row r="117" spans="1:13" hidden="1" outlineLevel="1" x14ac:dyDescent="0.25">
      <c r="B117" s="210">
        <v>44075</v>
      </c>
      <c r="C117" s="47">
        <f t="shared" si="47"/>
        <v>1596.22</v>
      </c>
      <c r="D117" s="47">
        <f t="shared" si="48"/>
        <v>0</v>
      </c>
      <c r="E117" s="47">
        <v>1596.22</v>
      </c>
      <c r="F117" s="47">
        <v>0</v>
      </c>
      <c r="G117" s="47">
        <v>0</v>
      </c>
      <c r="H117" s="47">
        <v>0</v>
      </c>
      <c r="I117" s="47">
        <f t="shared" si="45"/>
        <v>1596.22</v>
      </c>
      <c r="J117" s="47">
        <v>0</v>
      </c>
      <c r="K117" s="47">
        <v>3192.44</v>
      </c>
      <c r="L117" s="47">
        <v>0</v>
      </c>
      <c r="M117" t="b">
        <f t="shared" si="46"/>
        <v>1</v>
      </c>
    </row>
    <row r="118" spans="1:13" hidden="1" outlineLevel="1" x14ac:dyDescent="0.25">
      <c r="B118" s="210">
        <v>44105</v>
      </c>
      <c r="C118" s="47">
        <f t="shared" si="47"/>
        <v>3192.44</v>
      </c>
      <c r="D118" s="47">
        <f t="shared" si="48"/>
        <v>0</v>
      </c>
      <c r="E118" s="47">
        <v>1596.22</v>
      </c>
      <c r="F118" s="47">
        <v>0</v>
      </c>
      <c r="G118" s="47">
        <v>0</v>
      </c>
      <c r="H118" s="47">
        <v>0</v>
      </c>
      <c r="I118" s="47">
        <f t="shared" si="45"/>
        <v>1596.22</v>
      </c>
      <c r="J118" s="47">
        <v>3192.44</v>
      </c>
      <c r="K118" s="47">
        <v>1596.22</v>
      </c>
      <c r="L118" s="47">
        <v>0</v>
      </c>
      <c r="M118" t="b">
        <f t="shared" si="46"/>
        <v>1</v>
      </c>
    </row>
    <row r="119" spans="1:13" hidden="1" outlineLevel="1" x14ac:dyDescent="0.25">
      <c r="B119" s="210">
        <v>44136</v>
      </c>
      <c r="C119" s="47">
        <f t="shared" si="47"/>
        <v>1596.22</v>
      </c>
      <c r="D119" s="47">
        <f t="shared" si="48"/>
        <v>0</v>
      </c>
      <c r="E119" s="47">
        <v>2054.58</v>
      </c>
      <c r="F119" s="47">
        <v>0</v>
      </c>
      <c r="G119" s="47">
        <v>0</v>
      </c>
      <c r="H119" s="47">
        <v>0</v>
      </c>
      <c r="I119" s="47">
        <f t="shared" si="45"/>
        <v>2054.58</v>
      </c>
      <c r="J119" s="47">
        <v>1596.22</v>
      </c>
      <c r="K119" s="47">
        <v>2054.58</v>
      </c>
      <c r="L119" s="47">
        <v>0</v>
      </c>
      <c r="M119" t="b">
        <f t="shared" si="46"/>
        <v>1</v>
      </c>
    </row>
    <row r="120" spans="1:13" hidden="1" outlineLevel="1" x14ac:dyDescent="0.25">
      <c r="B120" s="210">
        <v>44166</v>
      </c>
      <c r="C120" s="47">
        <f t="shared" si="47"/>
        <v>2054.58</v>
      </c>
      <c r="D120" s="47">
        <f t="shared" si="48"/>
        <v>0</v>
      </c>
      <c r="E120" s="47">
        <v>2054.58</v>
      </c>
      <c r="F120" s="47">
        <v>0</v>
      </c>
      <c r="G120" s="47">
        <v>0</v>
      </c>
      <c r="H120" s="47">
        <v>0</v>
      </c>
      <c r="I120" s="47">
        <f t="shared" si="45"/>
        <v>2054.58</v>
      </c>
      <c r="J120" s="47">
        <v>2054.58</v>
      </c>
      <c r="K120" s="211">
        <v>2054.58</v>
      </c>
      <c r="L120" s="47">
        <v>0</v>
      </c>
      <c r="M120" t="b">
        <f t="shared" si="46"/>
        <v>1</v>
      </c>
    </row>
    <row r="121" spans="1:13" collapsed="1" x14ac:dyDescent="0.25">
      <c r="A121" s="46" t="s">
        <v>2352</v>
      </c>
      <c r="B121" s="46"/>
      <c r="C121" s="211">
        <f>C122</f>
        <v>2595.5500000000002</v>
      </c>
      <c r="D121" s="211">
        <f>D122</f>
        <v>0</v>
      </c>
      <c r="E121" s="211">
        <f>SUM(E122:E133)</f>
        <v>23567.32</v>
      </c>
      <c r="F121" s="211">
        <f t="shared" ref="F121:J121" si="49">SUM(F122:F133)</f>
        <v>0</v>
      </c>
      <c r="G121" s="211">
        <f t="shared" si="49"/>
        <v>0</v>
      </c>
      <c r="H121" s="211">
        <f t="shared" si="49"/>
        <v>0</v>
      </c>
      <c r="I121" s="211">
        <f t="shared" si="49"/>
        <v>23567.32</v>
      </c>
      <c r="J121" s="211">
        <f t="shared" si="49"/>
        <v>24982.489999999998</v>
      </c>
      <c r="K121" s="211">
        <f>K133</f>
        <v>1180.3800000000001</v>
      </c>
      <c r="L121" s="211">
        <f>L133</f>
        <v>0</v>
      </c>
      <c r="M121" s="46"/>
    </row>
    <row r="122" spans="1:13" hidden="1" outlineLevel="1" x14ac:dyDescent="0.25">
      <c r="B122" s="210">
        <v>43831</v>
      </c>
      <c r="C122" s="211">
        <v>2595.5500000000002</v>
      </c>
      <c r="D122" s="211">
        <v>0</v>
      </c>
      <c r="E122" s="47">
        <v>1663.07</v>
      </c>
      <c r="F122" s="47">
        <v>0</v>
      </c>
      <c r="G122" s="47">
        <v>0</v>
      </c>
      <c r="H122" s="47">
        <v>0</v>
      </c>
      <c r="I122" s="47">
        <f>E122+F122</f>
        <v>1663.07</v>
      </c>
      <c r="J122" s="47">
        <v>895.04</v>
      </c>
      <c r="K122" s="47">
        <v>3363.58</v>
      </c>
      <c r="L122" s="47">
        <v>0</v>
      </c>
      <c r="M122" t="b">
        <f>C122-D122+I122-J122=K122-L122</f>
        <v>1</v>
      </c>
    </row>
    <row r="123" spans="1:13" hidden="1" outlineLevel="1" x14ac:dyDescent="0.25">
      <c r="B123" s="210">
        <v>43862</v>
      </c>
      <c r="C123" s="47">
        <f>K122</f>
        <v>3363.58</v>
      </c>
      <c r="D123" s="47">
        <f>L122</f>
        <v>0</v>
      </c>
      <c r="E123" s="47">
        <v>1872.11</v>
      </c>
      <c r="F123" s="47">
        <v>0</v>
      </c>
      <c r="G123" s="47">
        <v>0</v>
      </c>
      <c r="H123" s="47">
        <v>0</v>
      </c>
      <c r="I123" s="47">
        <f t="shared" ref="I123:I133" si="50">E123+F123</f>
        <v>1872.11</v>
      </c>
      <c r="J123" s="47">
        <v>1962.83</v>
      </c>
      <c r="K123" s="47">
        <v>3272.86</v>
      </c>
      <c r="L123" s="47">
        <v>0</v>
      </c>
      <c r="M123" t="b">
        <f t="shared" ref="M123:M133" si="51">C123-D123+I123-J123=K123-L123</f>
        <v>1</v>
      </c>
    </row>
    <row r="124" spans="1:13" hidden="1" outlineLevel="1" x14ac:dyDescent="0.25">
      <c r="B124" s="210">
        <v>43891</v>
      </c>
      <c r="C124" s="47">
        <f t="shared" ref="C124:C133" si="52">K123</f>
        <v>3272.86</v>
      </c>
      <c r="D124" s="47">
        <f t="shared" ref="D124:D133" si="53">L123</f>
        <v>0</v>
      </c>
      <c r="E124" s="47">
        <v>1872.11</v>
      </c>
      <c r="F124" s="47">
        <v>0</v>
      </c>
      <c r="G124" s="47">
        <v>0</v>
      </c>
      <c r="H124" s="47">
        <v>0</v>
      </c>
      <c r="I124" s="47">
        <f t="shared" si="50"/>
        <v>1872.11</v>
      </c>
      <c r="J124" s="47">
        <v>1104.6199999999999</v>
      </c>
      <c r="K124" s="47">
        <v>4040.35</v>
      </c>
      <c r="L124" s="47">
        <v>0</v>
      </c>
      <c r="M124" t="b">
        <f t="shared" si="51"/>
        <v>1</v>
      </c>
    </row>
    <row r="125" spans="1:13" hidden="1" outlineLevel="1" x14ac:dyDescent="0.25">
      <c r="B125" s="210">
        <v>43922</v>
      </c>
      <c r="C125" s="47">
        <f t="shared" si="52"/>
        <v>4040.35</v>
      </c>
      <c r="D125" s="47">
        <f t="shared" si="53"/>
        <v>0</v>
      </c>
      <c r="E125" s="47">
        <v>1872.11</v>
      </c>
      <c r="F125" s="47">
        <v>0</v>
      </c>
      <c r="G125" s="47">
        <v>0</v>
      </c>
      <c r="H125" s="47">
        <v>0</v>
      </c>
      <c r="I125" s="47">
        <f t="shared" si="50"/>
        <v>1872.11</v>
      </c>
      <c r="J125" s="47">
        <v>0</v>
      </c>
      <c r="K125" s="47">
        <v>5912.46</v>
      </c>
      <c r="L125" s="47">
        <v>0</v>
      </c>
      <c r="M125" t="b">
        <f t="shared" si="51"/>
        <v>1</v>
      </c>
    </row>
    <row r="126" spans="1:13" hidden="1" outlineLevel="1" x14ac:dyDescent="0.25">
      <c r="B126" s="210">
        <v>43952</v>
      </c>
      <c r="C126" s="47">
        <f t="shared" si="52"/>
        <v>5912.46</v>
      </c>
      <c r="D126" s="47">
        <f t="shared" si="53"/>
        <v>0</v>
      </c>
      <c r="E126" s="47">
        <v>1872.11</v>
      </c>
      <c r="F126" s="47">
        <v>0</v>
      </c>
      <c r="G126" s="47">
        <v>0</v>
      </c>
      <c r="H126" s="47">
        <v>0</v>
      </c>
      <c r="I126" s="47">
        <f t="shared" si="50"/>
        <v>1872.11</v>
      </c>
      <c r="J126" s="47">
        <v>2209.2399999999998</v>
      </c>
      <c r="K126" s="47">
        <v>5575.33</v>
      </c>
      <c r="L126" s="47">
        <v>0</v>
      </c>
      <c r="M126" t="b">
        <f t="shared" si="51"/>
        <v>1</v>
      </c>
    </row>
    <row r="127" spans="1:13" hidden="1" outlineLevel="1" x14ac:dyDescent="0.25">
      <c r="B127" s="210">
        <v>43983</v>
      </c>
      <c r="C127" s="47">
        <f t="shared" si="52"/>
        <v>5575.33</v>
      </c>
      <c r="D127" s="47">
        <f t="shared" si="53"/>
        <v>0</v>
      </c>
      <c r="E127" s="47">
        <v>1872.11</v>
      </c>
      <c r="F127" s="47">
        <v>0</v>
      </c>
      <c r="G127" s="47">
        <v>0</v>
      </c>
      <c r="H127" s="47">
        <v>0</v>
      </c>
      <c r="I127" s="47">
        <f t="shared" si="50"/>
        <v>1872.11</v>
      </c>
      <c r="J127" s="47">
        <v>2795.12</v>
      </c>
      <c r="K127" s="47">
        <v>4652.32</v>
      </c>
      <c r="L127" s="47">
        <v>0</v>
      </c>
      <c r="M127" t="b">
        <f t="shared" si="51"/>
        <v>1</v>
      </c>
    </row>
    <row r="128" spans="1:13" hidden="1" outlineLevel="1" x14ac:dyDescent="0.25">
      <c r="B128" s="210">
        <v>44013</v>
      </c>
      <c r="C128" s="47">
        <f t="shared" si="52"/>
        <v>4652.32</v>
      </c>
      <c r="D128" s="47">
        <f t="shared" si="53"/>
        <v>0</v>
      </c>
      <c r="E128" s="47">
        <v>1886.9</v>
      </c>
      <c r="F128" s="47">
        <v>0</v>
      </c>
      <c r="G128" s="47">
        <v>0</v>
      </c>
      <c r="H128" s="47">
        <v>0</v>
      </c>
      <c r="I128" s="47">
        <f t="shared" si="50"/>
        <v>1886.9</v>
      </c>
      <c r="J128" s="47">
        <v>4652.32</v>
      </c>
      <c r="K128" s="47">
        <v>1886.9</v>
      </c>
      <c r="L128" s="47">
        <v>0</v>
      </c>
      <c r="M128" t="b">
        <f t="shared" si="51"/>
        <v>1</v>
      </c>
    </row>
    <row r="129" spans="1:13" hidden="1" outlineLevel="1" x14ac:dyDescent="0.25">
      <c r="B129" s="210">
        <v>44044</v>
      </c>
      <c r="C129" s="47">
        <f t="shared" si="52"/>
        <v>1886.9</v>
      </c>
      <c r="D129" s="47">
        <f t="shared" si="53"/>
        <v>0</v>
      </c>
      <c r="E129" s="47">
        <v>1886.9</v>
      </c>
      <c r="F129" s="47">
        <v>0</v>
      </c>
      <c r="G129" s="47">
        <v>0</v>
      </c>
      <c r="H129" s="47">
        <v>0</v>
      </c>
      <c r="I129" s="47">
        <f t="shared" si="50"/>
        <v>1886.9</v>
      </c>
      <c r="J129" s="47">
        <v>1115.71</v>
      </c>
      <c r="K129" s="47">
        <v>2658.09</v>
      </c>
      <c r="L129" s="47">
        <v>0</v>
      </c>
      <c r="M129" t="b">
        <f t="shared" si="51"/>
        <v>1</v>
      </c>
    </row>
    <row r="130" spans="1:13" hidden="1" outlineLevel="1" x14ac:dyDescent="0.25">
      <c r="B130" s="210">
        <v>44075</v>
      </c>
      <c r="C130" s="47">
        <f t="shared" si="52"/>
        <v>2658.09</v>
      </c>
      <c r="D130" s="47">
        <f t="shared" si="53"/>
        <v>0</v>
      </c>
      <c r="E130" s="47">
        <v>1886.9</v>
      </c>
      <c r="F130" s="47">
        <v>0</v>
      </c>
      <c r="G130" s="47">
        <v>0</v>
      </c>
      <c r="H130" s="47">
        <v>0</v>
      </c>
      <c r="I130" s="47">
        <f t="shared" si="50"/>
        <v>1886.9</v>
      </c>
      <c r="J130" s="47">
        <v>1115.71</v>
      </c>
      <c r="K130" s="47">
        <v>3429.28</v>
      </c>
      <c r="L130" s="47">
        <v>0</v>
      </c>
      <c r="M130" t="b">
        <f t="shared" si="51"/>
        <v>1</v>
      </c>
    </row>
    <row r="131" spans="1:13" hidden="1" outlineLevel="1" x14ac:dyDescent="0.25">
      <c r="B131" s="210">
        <v>44105</v>
      </c>
      <c r="C131" s="47">
        <f t="shared" si="52"/>
        <v>3429.28</v>
      </c>
      <c r="D131" s="47">
        <f t="shared" si="53"/>
        <v>0</v>
      </c>
      <c r="E131" s="47">
        <v>1886.9</v>
      </c>
      <c r="F131" s="47">
        <v>0</v>
      </c>
      <c r="G131" s="47">
        <v>0</v>
      </c>
      <c r="H131" s="47">
        <v>0</v>
      </c>
      <c r="I131" s="47">
        <f t="shared" si="50"/>
        <v>1886.9</v>
      </c>
      <c r="J131" s="47">
        <v>2684.38</v>
      </c>
      <c r="K131" s="47">
        <v>2631.8</v>
      </c>
      <c r="L131" s="47">
        <v>0</v>
      </c>
      <c r="M131" t="b">
        <f t="shared" si="51"/>
        <v>1</v>
      </c>
    </row>
    <row r="132" spans="1:13" hidden="1" outlineLevel="1" x14ac:dyDescent="0.25">
      <c r="B132" s="210">
        <v>44136</v>
      </c>
      <c r="C132" s="47">
        <f t="shared" si="52"/>
        <v>2631.8</v>
      </c>
      <c r="D132" s="47">
        <f t="shared" si="53"/>
        <v>0</v>
      </c>
      <c r="E132" s="47">
        <v>2498.0500000000002</v>
      </c>
      <c r="F132" s="47">
        <v>0</v>
      </c>
      <c r="G132" s="47">
        <v>0</v>
      </c>
      <c r="H132" s="47">
        <v>0</v>
      </c>
      <c r="I132" s="47">
        <f t="shared" si="50"/>
        <v>2498.0500000000002</v>
      </c>
      <c r="J132" s="47">
        <v>1115.71</v>
      </c>
      <c r="K132" s="47">
        <v>4014.14</v>
      </c>
      <c r="L132" s="47">
        <v>0</v>
      </c>
      <c r="M132" t="b">
        <f t="shared" si="51"/>
        <v>1</v>
      </c>
    </row>
    <row r="133" spans="1:13" hidden="1" outlineLevel="1" x14ac:dyDescent="0.25">
      <c r="B133" s="210">
        <v>44166</v>
      </c>
      <c r="C133" s="47">
        <f t="shared" si="52"/>
        <v>4014.14</v>
      </c>
      <c r="D133" s="47">
        <f t="shared" si="53"/>
        <v>0</v>
      </c>
      <c r="E133" s="47">
        <v>2498.0500000000002</v>
      </c>
      <c r="F133" s="47">
        <v>0</v>
      </c>
      <c r="G133" s="47">
        <v>0</v>
      </c>
      <c r="H133" s="47">
        <v>0</v>
      </c>
      <c r="I133" s="47">
        <f t="shared" si="50"/>
        <v>2498.0500000000002</v>
      </c>
      <c r="J133" s="47">
        <v>5331.81</v>
      </c>
      <c r="K133" s="211">
        <v>1180.3800000000001</v>
      </c>
      <c r="L133" s="211">
        <v>0</v>
      </c>
      <c r="M133" t="b">
        <f t="shared" si="51"/>
        <v>1</v>
      </c>
    </row>
    <row r="134" spans="1:13" collapsed="1" x14ac:dyDescent="0.25">
      <c r="A134" s="46" t="s">
        <v>2353</v>
      </c>
      <c r="B134" s="46"/>
      <c r="C134" s="211">
        <f>C135</f>
        <v>6503.4</v>
      </c>
      <c r="D134" s="211">
        <f>D135</f>
        <v>0</v>
      </c>
      <c r="E134" s="211">
        <f>SUM(E135:E146)</f>
        <v>49186.31</v>
      </c>
      <c r="F134" s="211">
        <f t="shared" ref="F134:J134" si="54">SUM(F135:F146)</f>
        <v>11659.4</v>
      </c>
      <c r="G134" s="211">
        <f t="shared" si="54"/>
        <v>0</v>
      </c>
      <c r="H134" s="211">
        <f t="shared" si="54"/>
        <v>0</v>
      </c>
      <c r="I134" s="211">
        <f t="shared" si="54"/>
        <v>60845.71</v>
      </c>
      <c r="J134" s="211">
        <f t="shared" si="54"/>
        <v>62605.26</v>
      </c>
      <c r="K134" s="211">
        <f>K146</f>
        <v>4743.8500000000004</v>
      </c>
      <c r="L134" s="211">
        <f>L146</f>
        <v>0</v>
      </c>
      <c r="M134" s="46"/>
    </row>
    <row r="135" spans="1:13" hidden="1" outlineLevel="1" x14ac:dyDescent="0.25">
      <c r="B135" s="210">
        <v>43831</v>
      </c>
      <c r="C135" s="211">
        <v>6503.4</v>
      </c>
      <c r="D135" s="211">
        <v>0</v>
      </c>
      <c r="E135" s="47">
        <v>3876.41</v>
      </c>
      <c r="F135" s="47">
        <v>0</v>
      </c>
      <c r="G135" s="47">
        <v>0</v>
      </c>
      <c r="H135" s="47">
        <v>0</v>
      </c>
      <c r="I135" s="47">
        <f>E135+F135</f>
        <v>3876.41</v>
      </c>
      <c r="J135" s="47">
        <v>6503.4</v>
      </c>
      <c r="K135" s="47">
        <v>3876.41</v>
      </c>
      <c r="L135" s="47">
        <v>0</v>
      </c>
      <c r="M135" t="b">
        <f>C135-D135+I135-J135=K135-L135</f>
        <v>1</v>
      </c>
    </row>
    <row r="136" spans="1:13" hidden="1" outlineLevel="1" x14ac:dyDescent="0.25">
      <c r="B136" s="210">
        <v>43862</v>
      </c>
      <c r="C136" s="47">
        <f>K135</f>
        <v>3876.41</v>
      </c>
      <c r="D136" s="47">
        <f>L135</f>
        <v>0</v>
      </c>
      <c r="E136" s="47">
        <v>3876.41</v>
      </c>
      <c r="F136" s="47">
        <v>0</v>
      </c>
      <c r="G136" s="47">
        <v>0</v>
      </c>
      <c r="H136" s="47">
        <v>0</v>
      </c>
      <c r="I136" s="47">
        <f t="shared" ref="I136:I146" si="55">E136+F136</f>
        <v>3876.41</v>
      </c>
      <c r="J136" s="47">
        <v>3878.22</v>
      </c>
      <c r="K136" s="47">
        <v>3874.6</v>
      </c>
      <c r="L136" s="47">
        <v>0</v>
      </c>
      <c r="M136" t="b">
        <f t="shared" ref="M136:M146" si="56">C136-D136+I136-J136=K136-L136</f>
        <v>1</v>
      </c>
    </row>
    <row r="137" spans="1:13" hidden="1" outlineLevel="1" x14ac:dyDescent="0.25">
      <c r="B137" s="210">
        <v>43891</v>
      </c>
      <c r="C137" s="47">
        <f t="shared" ref="C137:C146" si="57">K136</f>
        <v>3874.6</v>
      </c>
      <c r="D137" s="47">
        <f t="shared" ref="D137:D146" si="58">L136</f>
        <v>0</v>
      </c>
      <c r="E137" s="47">
        <v>3876.41</v>
      </c>
      <c r="F137" s="47">
        <v>0</v>
      </c>
      <c r="G137" s="47">
        <v>0</v>
      </c>
      <c r="H137" s="47">
        <v>0</v>
      </c>
      <c r="I137" s="47">
        <f t="shared" si="55"/>
        <v>3876.41</v>
      </c>
      <c r="J137" s="47">
        <v>3874.6</v>
      </c>
      <c r="K137" s="47">
        <v>3876.41</v>
      </c>
      <c r="L137" s="47">
        <v>0</v>
      </c>
      <c r="M137" t="b">
        <f t="shared" si="56"/>
        <v>1</v>
      </c>
    </row>
    <row r="138" spans="1:13" hidden="1" outlineLevel="1" x14ac:dyDescent="0.25">
      <c r="B138" s="210">
        <v>43922</v>
      </c>
      <c r="C138" s="47">
        <f t="shared" si="57"/>
        <v>3876.41</v>
      </c>
      <c r="D138" s="47">
        <f t="shared" si="58"/>
        <v>0</v>
      </c>
      <c r="E138" s="47">
        <v>3876.41</v>
      </c>
      <c r="F138" s="47">
        <v>0</v>
      </c>
      <c r="G138" s="47">
        <v>0</v>
      </c>
      <c r="H138" s="47">
        <v>0</v>
      </c>
      <c r="I138" s="47">
        <f t="shared" si="55"/>
        <v>3876.41</v>
      </c>
      <c r="J138" s="47">
        <v>1248.24</v>
      </c>
      <c r="K138" s="47">
        <v>6504.58</v>
      </c>
      <c r="L138" s="47">
        <v>0</v>
      </c>
      <c r="M138" t="b">
        <f t="shared" si="56"/>
        <v>1</v>
      </c>
    </row>
    <row r="139" spans="1:13" hidden="1" outlineLevel="1" x14ac:dyDescent="0.25">
      <c r="B139" s="210">
        <v>43952</v>
      </c>
      <c r="C139" s="47">
        <f t="shared" si="57"/>
        <v>6504.58</v>
      </c>
      <c r="D139" s="47">
        <f t="shared" si="58"/>
        <v>0</v>
      </c>
      <c r="E139" s="47">
        <v>3876.41</v>
      </c>
      <c r="F139" s="47">
        <v>0</v>
      </c>
      <c r="G139" s="47">
        <v>0</v>
      </c>
      <c r="H139" s="47">
        <v>0</v>
      </c>
      <c r="I139" s="47">
        <f t="shared" si="55"/>
        <v>3876.41</v>
      </c>
      <c r="J139" s="47">
        <v>6504.83</v>
      </c>
      <c r="K139" s="47">
        <v>3876.16</v>
      </c>
      <c r="L139" s="47">
        <v>0</v>
      </c>
      <c r="M139" t="b">
        <f t="shared" si="56"/>
        <v>1</v>
      </c>
    </row>
    <row r="140" spans="1:13" hidden="1" outlineLevel="1" x14ac:dyDescent="0.25">
      <c r="B140" s="210">
        <v>43983</v>
      </c>
      <c r="C140" s="47">
        <f t="shared" si="57"/>
        <v>3876.16</v>
      </c>
      <c r="D140" s="47">
        <f t="shared" si="58"/>
        <v>0</v>
      </c>
      <c r="E140" s="47">
        <v>3876.41</v>
      </c>
      <c r="F140" s="47">
        <v>0</v>
      </c>
      <c r="G140" s="47">
        <v>0</v>
      </c>
      <c r="H140" s="47">
        <v>0</v>
      </c>
      <c r="I140" s="47">
        <f t="shared" si="55"/>
        <v>3876.41</v>
      </c>
      <c r="J140" s="47">
        <v>1248.24</v>
      </c>
      <c r="K140" s="47">
        <v>6504.33</v>
      </c>
      <c r="L140" s="47">
        <v>0</v>
      </c>
      <c r="M140" t="b">
        <f t="shared" si="56"/>
        <v>1</v>
      </c>
    </row>
    <row r="141" spans="1:13" hidden="1" outlineLevel="1" x14ac:dyDescent="0.25">
      <c r="B141" s="210">
        <v>44013</v>
      </c>
      <c r="C141" s="47">
        <f t="shared" si="57"/>
        <v>6504.33</v>
      </c>
      <c r="D141" s="47">
        <f t="shared" si="58"/>
        <v>0</v>
      </c>
      <c r="E141" s="47">
        <v>3896.21</v>
      </c>
      <c r="F141" s="47">
        <v>0</v>
      </c>
      <c r="G141" s="47">
        <v>0</v>
      </c>
      <c r="H141" s="47">
        <v>0</v>
      </c>
      <c r="I141" s="47">
        <f t="shared" si="55"/>
        <v>3896.21</v>
      </c>
      <c r="J141" s="47">
        <v>6504.33</v>
      </c>
      <c r="K141" s="47">
        <v>3896.21</v>
      </c>
      <c r="L141" s="47">
        <v>0</v>
      </c>
      <c r="M141" t="b">
        <f t="shared" si="56"/>
        <v>1</v>
      </c>
    </row>
    <row r="142" spans="1:13" hidden="1" outlineLevel="1" x14ac:dyDescent="0.25">
      <c r="B142" s="210">
        <v>44044</v>
      </c>
      <c r="C142" s="47">
        <f t="shared" si="57"/>
        <v>3896.21</v>
      </c>
      <c r="D142" s="47">
        <f t="shared" si="58"/>
        <v>0</v>
      </c>
      <c r="E142" s="47">
        <v>3896.21</v>
      </c>
      <c r="F142" s="47">
        <v>-818.2</v>
      </c>
      <c r="G142" s="47">
        <v>0</v>
      </c>
      <c r="H142" s="47">
        <v>0</v>
      </c>
      <c r="I142" s="47">
        <f t="shared" si="55"/>
        <v>3078.01</v>
      </c>
      <c r="J142" s="47">
        <v>3896.21</v>
      </c>
      <c r="K142" s="47">
        <v>3078.01</v>
      </c>
      <c r="L142" s="47">
        <v>0</v>
      </c>
      <c r="M142" t="b">
        <f t="shared" si="56"/>
        <v>1</v>
      </c>
    </row>
    <row r="143" spans="1:13" hidden="1" outlineLevel="1" x14ac:dyDescent="0.25">
      <c r="B143" s="210">
        <v>44075</v>
      </c>
      <c r="C143" s="47">
        <f t="shared" si="57"/>
        <v>3078.01</v>
      </c>
      <c r="D143" s="47">
        <f t="shared" si="58"/>
        <v>0</v>
      </c>
      <c r="E143" s="47">
        <v>3896.21</v>
      </c>
      <c r="F143" s="47">
        <v>0</v>
      </c>
      <c r="G143" s="47">
        <v>0</v>
      </c>
      <c r="H143" s="47">
        <v>0</v>
      </c>
      <c r="I143" s="47">
        <f t="shared" si="55"/>
        <v>3896.21</v>
      </c>
      <c r="J143" s="47">
        <v>3078.01</v>
      </c>
      <c r="K143" s="47">
        <v>3896.21</v>
      </c>
      <c r="L143" s="47">
        <v>0</v>
      </c>
      <c r="M143" t="b">
        <f t="shared" si="56"/>
        <v>1</v>
      </c>
    </row>
    <row r="144" spans="1:13" hidden="1" outlineLevel="1" x14ac:dyDescent="0.25">
      <c r="B144" s="210">
        <v>44105</v>
      </c>
      <c r="C144" s="47">
        <f t="shared" si="57"/>
        <v>3896.21</v>
      </c>
      <c r="D144" s="47">
        <f t="shared" si="58"/>
        <v>0</v>
      </c>
      <c r="E144" s="47">
        <v>4751.5200000000004</v>
      </c>
      <c r="F144" s="47">
        <v>12477.6</v>
      </c>
      <c r="G144" s="47">
        <v>0</v>
      </c>
      <c r="H144" s="47">
        <v>0</v>
      </c>
      <c r="I144" s="47">
        <f t="shared" si="55"/>
        <v>17229.120000000003</v>
      </c>
      <c r="J144" s="47">
        <v>3896.21</v>
      </c>
      <c r="K144" s="47">
        <v>17229.12</v>
      </c>
      <c r="L144" s="47">
        <v>0</v>
      </c>
      <c r="M144" t="b">
        <f t="shared" si="56"/>
        <v>1</v>
      </c>
    </row>
    <row r="145" spans="1:13" hidden="1" outlineLevel="1" x14ac:dyDescent="0.25">
      <c r="B145" s="210">
        <v>44136</v>
      </c>
      <c r="C145" s="47">
        <f t="shared" si="57"/>
        <v>17229.12</v>
      </c>
      <c r="D145" s="47">
        <f t="shared" si="58"/>
        <v>0</v>
      </c>
      <c r="E145" s="47">
        <v>4743.8500000000004</v>
      </c>
      <c r="F145" s="47">
        <v>0</v>
      </c>
      <c r="G145" s="47">
        <v>0</v>
      </c>
      <c r="H145" s="47">
        <v>0</v>
      </c>
      <c r="I145" s="47">
        <f t="shared" si="55"/>
        <v>4743.8500000000004</v>
      </c>
      <c r="J145" s="47">
        <v>17229.12</v>
      </c>
      <c r="K145" s="47">
        <v>4743.8500000000004</v>
      </c>
      <c r="L145" s="47">
        <v>0</v>
      </c>
      <c r="M145" t="b">
        <f t="shared" si="56"/>
        <v>1</v>
      </c>
    </row>
    <row r="146" spans="1:13" hidden="1" outlineLevel="1" x14ac:dyDescent="0.25">
      <c r="B146" s="210">
        <v>44166</v>
      </c>
      <c r="C146" s="47">
        <f t="shared" si="57"/>
        <v>4743.8500000000004</v>
      </c>
      <c r="D146" s="47">
        <f t="shared" si="58"/>
        <v>0</v>
      </c>
      <c r="E146" s="47">
        <v>4743.8500000000004</v>
      </c>
      <c r="F146" s="47">
        <v>0</v>
      </c>
      <c r="G146" s="47">
        <v>0</v>
      </c>
      <c r="H146" s="47">
        <v>0</v>
      </c>
      <c r="I146" s="47">
        <f t="shared" si="55"/>
        <v>4743.8500000000004</v>
      </c>
      <c r="J146" s="47">
        <v>4743.8500000000004</v>
      </c>
      <c r="K146" s="211">
        <v>4743.8500000000004</v>
      </c>
      <c r="L146" s="211">
        <v>0</v>
      </c>
      <c r="M146" t="b">
        <f t="shared" si="56"/>
        <v>1</v>
      </c>
    </row>
    <row r="147" spans="1:13" collapsed="1" x14ac:dyDescent="0.25">
      <c r="A147" s="46" t="s">
        <v>2357</v>
      </c>
      <c r="B147" s="46"/>
      <c r="C147" s="211">
        <f>C148</f>
        <v>64478.82</v>
      </c>
      <c r="D147" s="211">
        <f>D148</f>
        <v>0</v>
      </c>
      <c r="E147" s="211">
        <f>SUM(E148:E159)</f>
        <v>530037.9</v>
      </c>
      <c r="F147" s="211">
        <f t="shared" ref="F147:J147" si="59">SUM(F148:F159)</f>
        <v>-4683.0600000000004</v>
      </c>
      <c r="G147" s="211">
        <f t="shared" si="59"/>
        <v>0</v>
      </c>
      <c r="H147" s="211">
        <f t="shared" si="59"/>
        <v>0</v>
      </c>
      <c r="I147" s="211">
        <f t="shared" si="59"/>
        <v>525354.84</v>
      </c>
      <c r="J147" s="211">
        <f t="shared" si="59"/>
        <v>557899.35000000009</v>
      </c>
      <c r="K147" s="211">
        <f>K159</f>
        <v>31934.81</v>
      </c>
      <c r="L147" s="211">
        <f>L159</f>
        <v>0.5</v>
      </c>
      <c r="M147" s="46"/>
    </row>
    <row r="148" spans="1:13" hidden="1" outlineLevel="1" x14ac:dyDescent="0.25">
      <c r="B148" s="210">
        <v>43831</v>
      </c>
      <c r="C148" s="211">
        <v>64478.82</v>
      </c>
      <c r="D148" s="211">
        <v>0</v>
      </c>
      <c r="E148" s="47">
        <v>44212.12</v>
      </c>
      <c r="F148" s="47">
        <v>0</v>
      </c>
      <c r="G148" s="47">
        <v>0</v>
      </c>
      <c r="H148" s="47">
        <v>0</v>
      </c>
      <c r="I148" s="47">
        <f>E148+F148</f>
        <v>44212.12</v>
      </c>
      <c r="J148" s="47">
        <v>13587.75</v>
      </c>
      <c r="K148" s="47">
        <v>95103.19</v>
      </c>
      <c r="L148" s="47">
        <v>0</v>
      </c>
      <c r="M148" t="b">
        <f>C148-D148+I148-J148=K148-L148</f>
        <v>1</v>
      </c>
    </row>
    <row r="149" spans="1:13" hidden="1" outlineLevel="1" x14ac:dyDescent="0.25">
      <c r="B149" s="210">
        <v>43862</v>
      </c>
      <c r="C149" s="47">
        <f>K148</f>
        <v>95103.19</v>
      </c>
      <c r="D149" s="47">
        <f>L148</f>
        <v>0</v>
      </c>
      <c r="E149" s="47">
        <v>43042.33</v>
      </c>
      <c r="F149" s="47">
        <v>0</v>
      </c>
      <c r="G149" s="47">
        <v>0</v>
      </c>
      <c r="H149" s="47">
        <v>0</v>
      </c>
      <c r="I149" s="47">
        <f t="shared" ref="I149:I159" si="60">E149+F149</f>
        <v>43042.33</v>
      </c>
      <c r="J149" s="47">
        <v>40264.870000000003</v>
      </c>
      <c r="K149" s="47">
        <v>97880.65</v>
      </c>
      <c r="L149" s="47">
        <v>0</v>
      </c>
      <c r="M149" t="b">
        <f t="shared" ref="M149:M159" si="61">C149-D149+I149-J149=K149-L149</f>
        <v>1</v>
      </c>
    </row>
    <row r="150" spans="1:13" hidden="1" outlineLevel="1" x14ac:dyDescent="0.25">
      <c r="B150" s="210">
        <v>43891</v>
      </c>
      <c r="C150" s="47">
        <f t="shared" ref="C150:C159" si="62">K149</f>
        <v>97880.65</v>
      </c>
      <c r="D150" s="47">
        <f t="shared" ref="D150:D159" si="63">L149</f>
        <v>0</v>
      </c>
      <c r="E150" s="47">
        <v>44138.28</v>
      </c>
      <c r="F150" s="47">
        <v>0</v>
      </c>
      <c r="G150" s="47">
        <v>0</v>
      </c>
      <c r="H150" s="47">
        <v>0</v>
      </c>
      <c r="I150" s="47">
        <f t="shared" si="60"/>
        <v>44138.28</v>
      </c>
      <c r="J150" s="47">
        <v>94527.55</v>
      </c>
      <c r="K150" s="47">
        <v>47491.38</v>
      </c>
      <c r="L150" s="47">
        <v>0</v>
      </c>
      <c r="M150" t="b">
        <f t="shared" si="61"/>
        <v>1</v>
      </c>
    </row>
    <row r="151" spans="1:13" hidden="1" outlineLevel="1" x14ac:dyDescent="0.25">
      <c r="B151" s="210">
        <v>43922</v>
      </c>
      <c r="C151" s="47">
        <f t="shared" si="62"/>
        <v>47491.38</v>
      </c>
      <c r="D151" s="47">
        <f t="shared" si="63"/>
        <v>0</v>
      </c>
      <c r="E151" s="47">
        <v>44338.17</v>
      </c>
      <c r="F151" s="47">
        <v>0</v>
      </c>
      <c r="G151" s="47">
        <v>0</v>
      </c>
      <c r="H151" s="47">
        <v>0</v>
      </c>
      <c r="I151" s="47">
        <f t="shared" si="60"/>
        <v>44338.17</v>
      </c>
      <c r="J151" s="47">
        <v>40212.76</v>
      </c>
      <c r="K151" s="47">
        <v>51616.79</v>
      </c>
      <c r="L151" s="47">
        <v>0</v>
      </c>
      <c r="M151" t="b">
        <f t="shared" si="61"/>
        <v>1</v>
      </c>
    </row>
    <row r="152" spans="1:13" hidden="1" outlineLevel="1" x14ac:dyDescent="0.25">
      <c r="B152" s="210">
        <v>43952</v>
      </c>
      <c r="C152" s="47">
        <f t="shared" si="62"/>
        <v>51616.79</v>
      </c>
      <c r="D152" s="47">
        <f t="shared" si="63"/>
        <v>0</v>
      </c>
      <c r="E152" s="47">
        <v>44243.14</v>
      </c>
      <c r="F152" s="47">
        <v>0</v>
      </c>
      <c r="G152" s="47">
        <v>0</v>
      </c>
      <c r="H152" s="47">
        <v>0</v>
      </c>
      <c r="I152" s="47">
        <f t="shared" si="60"/>
        <v>44243.14</v>
      </c>
      <c r="J152" s="47">
        <v>40412.65</v>
      </c>
      <c r="K152" s="47">
        <v>55447.28</v>
      </c>
      <c r="L152" s="47">
        <v>0</v>
      </c>
      <c r="M152" t="b">
        <f t="shared" si="61"/>
        <v>1</v>
      </c>
    </row>
    <row r="153" spans="1:13" hidden="1" outlineLevel="1" x14ac:dyDescent="0.25">
      <c r="B153" s="210">
        <v>43983</v>
      </c>
      <c r="C153" s="47">
        <f t="shared" si="62"/>
        <v>55447.28</v>
      </c>
      <c r="D153" s="47">
        <f t="shared" si="63"/>
        <v>0</v>
      </c>
      <c r="E153" s="47">
        <v>44937.85</v>
      </c>
      <c r="F153" s="47">
        <v>0</v>
      </c>
      <c r="G153" s="47">
        <v>0</v>
      </c>
      <c r="H153" s="47">
        <v>0</v>
      </c>
      <c r="I153" s="47">
        <f t="shared" si="60"/>
        <v>44937.85</v>
      </c>
      <c r="J153" s="47">
        <v>40317.620000000003</v>
      </c>
      <c r="K153" s="47">
        <v>60067.51</v>
      </c>
      <c r="L153" s="47">
        <v>0</v>
      </c>
      <c r="M153" t="b">
        <f t="shared" si="61"/>
        <v>1</v>
      </c>
    </row>
    <row r="154" spans="1:13" hidden="1" outlineLevel="1" x14ac:dyDescent="0.25">
      <c r="B154" s="210">
        <v>44013</v>
      </c>
      <c r="C154" s="47">
        <f t="shared" si="62"/>
        <v>60067.51</v>
      </c>
      <c r="D154" s="47">
        <f t="shared" si="63"/>
        <v>0</v>
      </c>
      <c r="E154" s="47">
        <v>44272.08</v>
      </c>
      <c r="F154" s="47">
        <v>0</v>
      </c>
      <c r="G154" s="47">
        <v>0</v>
      </c>
      <c r="H154" s="47">
        <v>0</v>
      </c>
      <c r="I154" s="47">
        <f t="shared" si="60"/>
        <v>44272.08</v>
      </c>
      <c r="J154" s="47">
        <v>41012.33</v>
      </c>
      <c r="K154" s="47">
        <v>63327.26</v>
      </c>
      <c r="L154" s="47">
        <v>0</v>
      </c>
      <c r="M154" t="b">
        <f t="shared" si="61"/>
        <v>1</v>
      </c>
    </row>
    <row r="155" spans="1:13" hidden="1" outlineLevel="1" x14ac:dyDescent="0.25">
      <c r="B155" s="210">
        <v>44044</v>
      </c>
      <c r="C155" s="47">
        <f t="shared" si="62"/>
        <v>63327.26</v>
      </c>
      <c r="D155" s="47">
        <f t="shared" si="63"/>
        <v>0</v>
      </c>
      <c r="E155" s="47">
        <v>44916.86</v>
      </c>
      <c r="F155" s="47">
        <v>-3272.8</v>
      </c>
      <c r="G155" s="47">
        <v>0</v>
      </c>
      <c r="H155" s="47">
        <v>0</v>
      </c>
      <c r="I155" s="47">
        <f t="shared" si="60"/>
        <v>41644.06</v>
      </c>
      <c r="J155" s="47">
        <v>40338.9</v>
      </c>
      <c r="K155" s="47">
        <v>64632.42</v>
      </c>
      <c r="L155" s="47">
        <v>0</v>
      </c>
      <c r="M155" t="b">
        <f t="shared" si="61"/>
        <v>1</v>
      </c>
    </row>
    <row r="156" spans="1:13" hidden="1" outlineLevel="1" x14ac:dyDescent="0.25">
      <c r="B156" s="210">
        <v>44075</v>
      </c>
      <c r="C156" s="47">
        <f t="shared" si="62"/>
        <v>64632.42</v>
      </c>
      <c r="D156" s="47">
        <f t="shared" si="63"/>
        <v>0</v>
      </c>
      <c r="E156" s="47">
        <v>44013.22</v>
      </c>
      <c r="F156" s="47">
        <v>-1410.26</v>
      </c>
      <c r="G156" s="47">
        <v>0</v>
      </c>
      <c r="H156" s="47">
        <v>0</v>
      </c>
      <c r="I156" s="47">
        <f t="shared" si="60"/>
        <v>42602.96</v>
      </c>
      <c r="J156" s="47">
        <v>70811.81</v>
      </c>
      <c r="K156" s="47">
        <v>45482.49</v>
      </c>
      <c r="L156" s="47">
        <v>9058.92</v>
      </c>
      <c r="M156" t="b">
        <f t="shared" si="61"/>
        <v>1</v>
      </c>
    </row>
    <row r="157" spans="1:13" hidden="1" outlineLevel="1" x14ac:dyDescent="0.25">
      <c r="B157" s="210">
        <v>44105</v>
      </c>
      <c r="C157" s="47">
        <f t="shared" si="62"/>
        <v>45482.49</v>
      </c>
      <c r="D157" s="47">
        <f t="shared" si="63"/>
        <v>9058.92</v>
      </c>
      <c r="E157" s="47">
        <v>44109.919999999998</v>
      </c>
      <c r="F157" s="47">
        <v>0</v>
      </c>
      <c r="G157" s="47">
        <v>0</v>
      </c>
      <c r="H157" s="47">
        <v>0</v>
      </c>
      <c r="I157" s="47">
        <f t="shared" si="60"/>
        <v>44109.919999999998</v>
      </c>
      <c r="J157" s="47">
        <v>42960.6</v>
      </c>
      <c r="K157" s="47">
        <v>43033.1</v>
      </c>
      <c r="L157" s="47">
        <v>5460.21</v>
      </c>
      <c r="M157" t="b">
        <f t="shared" si="61"/>
        <v>1</v>
      </c>
    </row>
    <row r="158" spans="1:13" hidden="1" outlineLevel="1" x14ac:dyDescent="0.25">
      <c r="B158" s="210">
        <v>44136</v>
      </c>
      <c r="C158" s="47">
        <f t="shared" si="62"/>
        <v>43033.1</v>
      </c>
      <c r="D158" s="47">
        <f t="shared" si="63"/>
        <v>5460.21</v>
      </c>
      <c r="E158" s="47">
        <v>44802.17</v>
      </c>
      <c r="F158" s="47">
        <v>0</v>
      </c>
      <c r="G158" s="47">
        <v>0</v>
      </c>
      <c r="H158" s="47">
        <v>0</v>
      </c>
      <c r="I158" s="47">
        <f t="shared" si="60"/>
        <v>44802.17</v>
      </c>
      <c r="J158" s="47">
        <v>40073.21</v>
      </c>
      <c r="K158" s="47">
        <v>44165.27</v>
      </c>
      <c r="L158" s="47">
        <v>1863.42</v>
      </c>
      <c r="M158" t="b">
        <f t="shared" si="61"/>
        <v>1</v>
      </c>
    </row>
    <row r="159" spans="1:13" hidden="1" outlineLevel="1" x14ac:dyDescent="0.25">
      <c r="B159" s="210">
        <v>44166</v>
      </c>
      <c r="C159" s="47">
        <f t="shared" si="62"/>
        <v>44165.27</v>
      </c>
      <c r="D159" s="47">
        <f t="shared" si="63"/>
        <v>1863.42</v>
      </c>
      <c r="E159" s="47">
        <v>43011.76</v>
      </c>
      <c r="F159" s="47">
        <v>0</v>
      </c>
      <c r="G159" s="47">
        <v>0</v>
      </c>
      <c r="H159" s="47">
        <v>0</v>
      </c>
      <c r="I159" s="47">
        <f t="shared" si="60"/>
        <v>43011.76</v>
      </c>
      <c r="J159" s="47">
        <v>53379.3</v>
      </c>
      <c r="K159" s="211">
        <v>31934.81</v>
      </c>
      <c r="L159" s="211">
        <v>0.5</v>
      </c>
      <c r="M159" t="b">
        <f t="shared" si="61"/>
        <v>1</v>
      </c>
    </row>
    <row r="160" spans="1:13" collapsed="1" x14ac:dyDescent="0.25">
      <c r="A160" s="46" t="s">
        <v>2355</v>
      </c>
      <c r="B160" s="46"/>
      <c r="C160" s="211">
        <f>C161</f>
        <v>69237.88</v>
      </c>
      <c r="D160" s="211">
        <f>D161</f>
        <v>0</v>
      </c>
      <c r="E160" s="211">
        <f>SUM(E161:E172)</f>
        <v>544709.82000000007</v>
      </c>
      <c r="F160" s="211">
        <f t="shared" ref="F160:J160" si="64">SUM(F161:F172)</f>
        <v>-10393.259999999998</v>
      </c>
      <c r="G160" s="211">
        <f t="shared" si="64"/>
        <v>0</v>
      </c>
      <c r="H160" s="211">
        <f t="shared" si="64"/>
        <v>0</v>
      </c>
      <c r="I160" s="211">
        <f t="shared" si="64"/>
        <v>534316.56000000006</v>
      </c>
      <c r="J160" s="211">
        <f t="shared" si="64"/>
        <v>456140.15</v>
      </c>
      <c r="K160" s="211">
        <f>K172</f>
        <v>147414.29</v>
      </c>
      <c r="L160" s="211">
        <f>L172</f>
        <v>0</v>
      </c>
      <c r="M160" s="46"/>
    </row>
    <row r="161" spans="1:13" hidden="1" outlineLevel="1" x14ac:dyDescent="0.25">
      <c r="B161" s="210">
        <v>43831</v>
      </c>
      <c r="C161" s="211">
        <v>69237.88</v>
      </c>
      <c r="D161" s="211">
        <v>0</v>
      </c>
      <c r="E161" s="47">
        <v>46637.31</v>
      </c>
      <c r="F161" s="47">
        <v>0</v>
      </c>
      <c r="G161" s="47">
        <v>0</v>
      </c>
      <c r="H161" s="47">
        <v>0</v>
      </c>
      <c r="I161" s="47">
        <f>E161+F161</f>
        <v>46637.31</v>
      </c>
      <c r="J161" s="47">
        <v>32862.5</v>
      </c>
      <c r="K161" s="47">
        <v>83012.69</v>
      </c>
      <c r="L161" s="47">
        <v>0</v>
      </c>
      <c r="M161" t="b">
        <f>C161-D161+I161-J161=K161-L161</f>
        <v>1</v>
      </c>
    </row>
    <row r="162" spans="1:13" hidden="1" outlineLevel="1" x14ac:dyDescent="0.25">
      <c r="B162" s="210">
        <v>43862</v>
      </c>
      <c r="C162" s="47">
        <f>K161</f>
        <v>83012.69</v>
      </c>
      <c r="D162" s="47">
        <f>L161</f>
        <v>0</v>
      </c>
      <c r="E162" s="47">
        <v>46294.89</v>
      </c>
      <c r="F162" s="47">
        <v>0</v>
      </c>
      <c r="G162" s="47">
        <v>0</v>
      </c>
      <c r="H162" s="47">
        <v>0</v>
      </c>
      <c r="I162" s="47">
        <f t="shared" ref="I162:I172" si="65">E162+F162</f>
        <v>46294.89</v>
      </c>
      <c r="J162" s="47">
        <v>49364.66</v>
      </c>
      <c r="K162" s="47">
        <v>79942.92</v>
      </c>
      <c r="L162" s="47">
        <v>0</v>
      </c>
      <c r="M162" t="b">
        <f t="shared" ref="M162:M172" si="66">C162-D162+I162-J162=K162-L162</f>
        <v>1</v>
      </c>
    </row>
    <row r="163" spans="1:13" hidden="1" outlineLevel="1" x14ac:dyDescent="0.25">
      <c r="B163" s="210">
        <v>43891</v>
      </c>
      <c r="C163" s="47">
        <f t="shared" ref="C163:C172" si="67">K162</f>
        <v>79942.92</v>
      </c>
      <c r="D163" s="47">
        <f t="shared" ref="D163:D172" si="68">L162</f>
        <v>0</v>
      </c>
      <c r="E163" s="47">
        <v>45737.440000000002</v>
      </c>
      <c r="F163" s="47">
        <v>0</v>
      </c>
      <c r="G163" s="47">
        <v>0</v>
      </c>
      <c r="H163" s="47">
        <v>0</v>
      </c>
      <c r="I163" s="47">
        <f t="shared" si="65"/>
        <v>45737.440000000002</v>
      </c>
      <c r="J163" s="47">
        <v>40348.379999999997</v>
      </c>
      <c r="K163" s="47">
        <v>85331.98</v>
      </c>
      <c r="L163" s="47">
        <v>0</v>
      </c>
      <c r="M163" t="b">
        <f t="shared" si="66"/>
        <v>1</v>
      </c>
    </row>
    <row r="164" spans="1:13" hidden="1" outlineLevel="1" x14ac:dyDescent="0.25">
      <c r="B164" s="210">
        <v>43922</v>
      </c>
      <c r="C164" s="47">
        <f t="shared" si="67"/>
        <v>85331.98</v>
      </c>
      <c r="D164" s="47">
        <f t="shared" si="68"/>
        <v>0</v>
      </c>
      <c r="E164" s="47">
        <v>45290.14</v>
      </c>
      <c r="F164" s="47">
        <v>0</v>
      </c>
      <c r="G164" s="47">
        <v>0</v>
      </c>
      <c r="H164" s="47">
        <v>0</v>
      </c>
      <c r="I164" s="47">
        <f t="shared" si="65"/>
        <v>45290.14</v>
      </c>
      <c r="J164" s="47">
        <v>26878.799999999999</v>
      </c>
      <c r="K164" s="47">
        <v>103743.32</v>
      </c>
      <c r="L164" s="47">
        <v>0</v>
      </c>
      <c r="M164" t="b">
        <f t="shared" si="66"/>
        <v>1</v>
      </c>
    </row>
    <row r="165" spans="1:13" hidden="1" outlineLevel="1" x14ac:dyDescent="0.25">
      <c r="B165" s="210">
        <v>43952</v>
      </c>
      <c r="C165" s="47">
        <f t="shared" si="67"/>
        <v>103743.32</v>
      </c>
      <c r="D165" s="47">
        <f t="shared" si="68"/>
        <v>0</v>
      </c>
      <c r="E165" s="47">
        <v>45737.440000000002</v>
      </c>
      <c r="F165" s="47">
        <v>0</v>
      </c>
      <c r="G165" s="47">
        <v>0</v>
      </c>
      <c r="H165" s="47">
        <v>0</v>
      </c>
      <c r="I165" s="47">
        <f t="shared" si="65"/>
        <v>45737.440000000002</v>
      </c>
      <c r="J165" s="47">
        <v>58782.79</v>
      </c>
      <c r="K165" s="47">
        <v>90697.97</v>
      </c>
      <c r="L165" s="47">
        <v>0</v>
      </c>
      <c r="M165" t="b">
        <f t="shared" si="66"/>
        <v>1</v>
      </c>
    </row>
    <row r="166" spans="1:13" hidden="1" outlineLevel="1" x14ac:dyDescent="0.25">
      <c r="B166" s="210">
        <v>43983</v>
      </c>
      <c r="C166" s="47">
        <f t="shared" si="67"/>
        <v>90697.97</v>
      </c>
      <c r="D166" s="47">
        <f t="shared" si="68"/>
        <v>0</v>
      </c>
      <c r="E166" s="47">
        <v>44795.34</v>
      </c>
      <c r="F166" s="47">
        <v>0</v>
      </c>
      <c r="G166" s="47">
        <v>0</v>
      </c>
      <c r="H166" s="47">
        <v>0</v>
      </c>
      <c r="I166" s="47">
        <f t="shared" si="65"/>
        <v>44795.34</v>
      </c>
      <c r="J166" s="47">
        <v>34561.22</v>
      </c>
      <c r="K166" s="47">
        <v>100932.09</v>
      </c>
      <c r="L166" s="47">
        <v>0</v>
      </c>
      <c r="M166" t="b">
        <f t="shared" si="66"/>
        <v>1</v>
      </c>
    </row>
    <row r="167" spans="1:13" hidden="1" outlineLevel="1" x14ac:dyDescent="0.25">
      <c r="B167" s="210">
        <v>44013</v>
      </c>
      <c r="C167" s="47">
        <f t="shared" si="67"/>
        <v>100932.09</v>
      </c>
      <c r="D167" s="47">
        <f t="shared" si="68"/>
        <v>0</v>
      </c>
      <c r="E167" s="47">
        <v>44454.32</v>
      </c>
      <c r="F167" s="47">
        <v>0</v>
      </c>
      <c r="G167" s="47">
        <v>0</v>
      </c>
      <c r="H167" s="47">
        <v>0</v>
      </c>
      <c r="I167" s="47">
        <f t="shared" si="65"/>
        <v>44454.32</v>
      </c>
      <c r="J167" s="47">
        <v>35650.19</v>
      </c>
      <c r="K167" s="47">
        <v>109736.22</v>
      </c>
      <c r="L167" s="47">
        <v>0</v>
      </c>
      <c r="M167" t="b">
        <f t="shared" si="66"/>
        <v>1</v>
      </c>
    </row>
    <row r="168" spans="1:13" hidden="1" outlineLevel="1" x14ac:dyDescent="0.25">
      <c r="B168" s="210">
        <v>44044</v>
      </c>
      <c r="C168" s="47">
        <f t="shared" si="67"/>
        <v>109736.22</v>
      </c>
      <c r="D168" s="47">
        <f t="shared" si="68"/>
        <v>0</v>
      </c>
      <c r="E168" s="47">
        <v>45305.87</v>
      </c>
      <c r="F168" s="47">
        <v>-1909.13</v>
      </c>
      <c r="G168" s="47">
        <v>0</v>
      </c>
      <c r="H168" s="47">
        <v>0</v>
      </c>
      <c r="I168" s="47">
        <f t="shared" si="65"/>
        <v>43396.740000000005</v>
      </c>
      <c r="J168" s="47">
        <v>36598.6</v>
      </c>
      <c r="K168" s="47">
        <v>116534.36</v>
      </c>
      <c r="L168" s="47">
        <v>0</v>
      </c>
      <c r="M168" t="b">
        <f t="shared" si="66"/>
        <v>1</v>
      </c>
    </row>
    <row r="169" spans="1:13" hidden="1" outlineLevel="1" x14ac:dyDescent="0.25">
      <c r="B169" s="210">
        <v>44075</v>
      </c>
      <c r="C169" s="47">
        <f t="shared" si="67"/>
        <v>116534.36</v>
      </c>
      <c r="D169" s="47">
        <f t="shared" si="68"/>
        <v>0</v>
      </c>
      <c r="E169" s="47">
        <v>45313.27</v>
      </c>
      <c r="F169" s="47">
        <v>0</v>
      </c>
      <c r="G169" s="47">
        <v>0</v>
      </c>
      <c r="H169" s="47">
        <v>0</v>
      </c>
      <c r="I169" s="47">
        <f t="shared" si="65"/>
        <v>45313.27</v>
      </c>
      <c r="J169" s="47">
        <v>25633.82</v>
      </c>
      <c r="K169" s="47">
        <v>136213.81</v>
      </c>
      <c r="L169" s="47">
        <v>0</v>
      </c>
      <c r="M169" t="b">
        <f t="shared" si="66"/>
        <v>1</v>
      </c>
    </row>
    <row r="170" spans="1:13" hidden="1" outlineLevel="1" x14ac:dyDescent="0.25">
      <c r="B170" s="210">
        <v>44105</v>
      </c>
      <c r="C170" s="47">
        <f t="shared" si="67"/>
        <v>136213.81</v>
      </c>
      <c r="D170" s="47">
        <f t="shared" si="68"/>
        <v>0</v>
      </c>
      <c r="E170" s="47">
        <v>45659.12</v>
      </c>
      <c r="F170" s="47">
        <v>0</v>
      </c>
      <c r="G170" s="47">
        <v>0</v>
      </c>
      <c r="H170" s="47">
        <v>0</v>
      </c>
      <c r="I170" s="47">
        <f t="shared" si="65"/>
        <v>45659.12</v>
      </c>
      <c r="J170" s="47">
        <v>28499.99</v>
      </c>
      <c r="K170" s="47">
        <v>153372.94</v>
      </c>
      <c r="L170" s="47">
        <v>0</v>
      </c>
      <c r="M170" t="b">
        <f t="shared" si="66"/>
        <v>1</v>
      </c>
    </row>
    <row r="171" spans="1:13" hidden="1" outlineLevel="1" x14ac:dyDescent="0.25">
      <c r="B171" s="210">
        <v>44136</v>
      </c>
      <c r="C171" s="47">
        <f t="shared" si="67"/>
        <v>153372.94</v>
      </c>
      <c r="D171" s="47">
        <f t="shared" si="68"/>
        <v>0</v>
      </c>
      <c r="E171" s="47">
        <v>45489.79</v>
      </c>
      <c r="F171" s="47">
        <v>-8484.1299999999992</v>
      </c>
      <c r="G171" s="47">
        <v>0</v>
      </c>
      <c r="H171" s="47">
        <v>0</v>
      </c>
      <c r="I171" s="47">
        <f t="shared" si="65"/>
        <v>37005.660000000003</v>
      </c>
      <c r="J171" s="47">
        <v>26559.439999999999</v>
      </c>
      <c r="K171" s="47">
        <v>166741.91</v>
      </c>
      <c r="L171" s="47">
        <v>2922.75</v>
      </c>
      <c r="M171" t="b">
        <f t="shared" si="66"/>
        <v>1</v>
      </c>
    </row>
    <row r="172" spans="1:13" hidden="1" outlineLevel="1" x14ac:dyDescent="0.25">
      <c r="B172" s="210">
        <v>44166</v>
      </c>
      <c r="C172" s="47">
        <f t="shared" si="67"/>
        <v>166741.91</v>
      </c>
      <c r="D172" s="47">
        <f t="shared" si="68"/>
        <v>2922.75</v>
      </c>
      <c r="E172" s="47">
        <v>43994.89</v>
      </c>
      <c r="F172" s="47">
        <v>0</v>
      </c>
      <c r="G172" s="47">
        <v>0</v>
      </c>
      <c r="H172" s="47">
        <v>0</v>
      </c>
      <c r="I172" s="47">
        <f t="shared" si="65"/>
        <v>43994.89</v>
      </c>
      <c r="J172" s="47">
        <v>60399.76</v>
      </c>
      <c r="K172" s="211">
        <v>147414.29</v>
      </c>
      <c r="L172" s="211">
        <v>0</v>
      </c>
      <c r="M172" t="b">
        <f t="shared" si="66"/>
        <v>1</v>
      </c>
    </row>
    <row r="173" spans="1:13" collapsed="1" x14ac:dyDescent="0.25">
      <c r="A173" s="46" t="s">
        <v>2356</v>
      </c>
      <c r="B173" s="46"/>
      <c r="C173" s="211">
        <f>C174</f>
        <v>52188.46</v>
      </c>
      <c r="D173" s="211">
        <f>D174</f>
        <v>0.11</v>
      </c>
      <c r="E173" s="211">
        <f>SUM(E174:E185)</f>
        <v>515886.73</v>
      </c>
      <c r="F173" s="211">
        <f t="shared" ref="F173:J173" si="69">SUM(F174:F185)</f>
        <v>-5338.8099999999995</v>
      </c>
      <c r="G173" s="211">
        <f t="shared" si="69"/>
        <v>0</v>
      </c>
      <c r="H173" s="211">
        <f t="shared" si="69"/>
        <v>0</v>
      </c>
      <c r="I173" s="211">
        <f t="shared" si="69"/>
        <v>510547.92</v>
      </c>
      <c r="J173" s="211">
        <f t="shared" si="69"/>
        <v>542830.41999999993</v>
      </c>
      <c r="K173" s="211">
        <f>K185</f>
        <v>19939.43</v>
      </c>
      <c r="L173" s="211">
        <f>L185</f>
        <v>33.58</v>
      </c>
      <c r="M173" s="46"/>
    </row>
    <row r="174" spans="1:13" hidden="1" outlineLevel="1" x14ac:dyDescent="0.25">
      <c r="B174" s="210">
        <v>43831</v>
      </c>
      <c r="C174" s="211">
        <v>52188.46</v>
      </c>
      <c r="D174" s="211">
        <v>0.11</v>
      </c>
      <c r="E174" s="47">
        <v>42977.21</v>
      </c>
      <c r="F174" s="47">
        <v>0</v>
      </c>
      <c r="G174" s="47">
        <v>0</v>
      </c>
      <c r="H174" s="47">
        <v>0</v>
      </c>
      <c r="I174" s="47">
        <f>E174+F174</f>
        <v>42977.21</v>
      </c>
      <c r="J174" s="47">
        <v>19508.95</v>
      </c>
      <c r="K174" s="47">
        <v>75656.61</v>
      </c>
      <c r="L174" s="47">
        <v>0</v>
      </c>
      <c r="M174" t="b">
        <f>C174-D174+I174-J174=K174-L174</f>
        <v>1</v>
      </c>
    </row>
    <row r="175" spans="1:13" hidden="1" outlineLevel="1" x14ac:dyDescent="0.25">
      <c r="B175" s="210">
        <v>43862</v>
      </c>
      <c r="C175" s="47">
        <f>K174</f>
        <v>75656.61</v>
      </c>
      <c r="D175" s="47">
        <f>L174</f>
        <v>0</v>
      </c>
      <c r="E175" s="47">
        <v>42951.839999999997</v>
      </c>
      <c r="F175" s="47">
        <v>0</v>
      </c>
      <c r="G175" s="47">
        <v>0</v>
      </c>
      <c r="H175" s="47">
        <v>0</v>
      </c>
      <c r="I175" s="47">
        <f t="shared" ref="I175:I185" si="70">E175+F175</f>
        <v>42951.839999999997</v>
      </c>
      <c r="J175" s="47">
        <v>48381.38</v>
      </c>
      <c r="K175" s="47">
        <v>70227.070000000007</v>
      </c>
      <c r="L175" s="47">
        <v>0</v>
      </c>
      <c r="M175" t="b">
        <f t="shared" ref="M175:M185" si="71">C175-D175+I175-J175=K175-L175</f>
        <v>1</v>
      </c>
    </row>
    <row r="176" spans="1:13" hidden="1" outlineLevel="1" x14ac:dyDescent="0.25">
      <c r="B176" s="210">
        <v>43891</v>
      </c>
      <c r="C176" s="47">
        <f t="shared" ref="C176:C185" si="72">K175</f>
        <v>70227.070000000007</v>
      </c>
      <c r="D176" s="47">
        <f t="shared" ref="D176:D185" si="73">L175</f>
        <v>0</v>
      </c>
      <c r="E176" s="47">
        <v>43123.5</v>
      </c>
      <c r="F176" s="47">
        <v>0</v>
      </c>
      <c r="G176" s="47">
        <v>0</v>
      </c>
      <c r="H176" s="47">
        <v>0</v>
      </c>
      <c r="I176" s="47">
        <f t="shared" si="70"/>
        <v>43123.5</v>
      </c>
      <c r="J176" s="47">
        <v>46459.26</v>
      </c>
      <c r="K176" s="47">
        <v>66891.31</v>
      </c>
      <c r="L176" s="47">
        <v>0</v>
      </c>
      <c r="M176" t="b">
        <f t="shared" si="71"/>
        <v>1</v>
      </c>
    </row>
    <row r="177" spans="1:13" hidden="1" outlineLevel="1" x14ac:dyDescent="0.25">
      <c r="B177" s="210">
        <v>43922</v>
      </c>
      <c r="C177" s="47">
        <f t="shared" si="72"/>
        <v>66891.31</v>
      </c>
      <c r="D177" s="47">
        <f t="shared" si="73"/>
        <v>0</v>
      </c>
      <c r="E177" s="47">
        <v>43510.65</v>
      </c>
      <c r="F177" s="47">
        <v>0</v>
      </c>
      <c r="G177" s="47">
        <v>0</v>
      </c>
      <c r="H177" s="47">
        <v>0</v>
      </c>
      <c r="I177" s="47">
        <f t="shared" si="70"/>
        <v>43510.65</v>
      </c>
      <c r="J177" s="47">
        <v>43380.639999999999</v>
      </c>
      <c r="K177" s="47">
        <v>67021.320000000007</v>
      </c>
      <c r="L177" s="47">
        <v>0</v>
      </c>
      <c r="M177" t="b">
        <f t="shared" si="71"/>
        <v>1</v>
      </c>
    </row>
    <row r="178" spans="1:13" hidden="1" outlineLevel="1" x14ac:dyDescent="0.25">
      <c r="B178" s="210">
        <v>43952</v>
      </c>
      <c r="C178" s="47">
        <f t="shared" si="72"/>
        <v>67021.320000000007</v>
      </c>
      <c r="D178" s="47">
        <f t="shared" si="73"/>
        <v>0</v>
      </c>
      <c r="E178" s="47">
        <v>43605.67</v>
      </c>
      <c r="F178" s="47">
        <v>0</v>
      </c>
      <c r="G178" s="47">
        <v>0</v>
      </c>
      <c r="H178" s="47">
        <v>0</v>
      </c>
      <c r="I178" s="47">
        <f t="shared" si="70"/>
        <v>43605.67</v>
      </c>
      <c r="J178" s="47">
        <v>44392.6</v>
      </c>
      <c r="K178" s="47">
        <v>66234.39</v>
      </c>
      <c r="L178" s="47">
        <v>0</v>
      </c>
      <c r="M178" t="b">
        <f t="shared" si="71"/>
        <v>1</v>
      </c>
    </row>
    <row r="179" spans="1:13" hidden="1" outlineLevel="1" x14ac:dyDescent="0.25">
      <c r="B179" s="210">
        <v>43983</v>
      </c>
      <c r="C179" s="47">
        <f t="shared" si="72"/>
        <v>66234.39</v>
      </c>
      <c r="D179" s="47">
        <f t="shared" si="73"/>
        <v>0</v>
      </c>
      <c r="E179" s="47">
        <v>43455.06</v>
      </c>
      <c r="F179" s="47">
        <v>0</v>
      </c>
      <c r="G179" s="47">
        <v>0</v>
      </c>
      <c r="H179" s="47">
        <v>0</v>
      </c>
      <c r="I179" s="47">
        <f t="shared" si="70"/>
        <v>43455.06</v>
      </c>
      <c r="J179" s="47">
        <v>44716.82</v>
      </c>
      <c r="K179" s="47">
        <v>64972.63</v>
      </c>
      <c r="L179" s="47">
        <v>0</v>
      </c>
      <c r="M179" t="b">
        <f t="shared" si="71"/>
        <v>1</v>
      </c>
    </row>
    <row r="180" spans="1:13" hidden="1" outlineLevel="1" x14ac:dyDescent="0.25">
      <c r="B180" s="210">
        <v>44013</v>
      </c>
      <c r="C180" s="47">
        <f t="shared" si="72"/>
        <v>64972.63</v>
      </c>
      <c r="D180" s="47">
        <f t="shared" si="73"/>
        <v>0</v>
      </c>
      <c r="E180" s="47">
        <v>43032.24</v>
      </c>
      <c r="F180" s="47">
        <v>0</v>
      </c>
      <c r="G180" s="47">
        <v>0</v>
      </c>
      <c r="H180" s="47">
        <v>0</v>
      </c>
      <c r="I180" s="47">
        <f t="shared" si="70"/>
        <v>43032.24</v>
      </c>
      <c r="J180" s="47">
        <v>44683.95</v>
      </c>
      <c r="K180" s="47">
        <v>63320.92</v>
      </c>
      <c r="L180" s="47">
        <v>0</v>
      </c>
      <c r="M180" t="b">
        <f t="shared" si="71"/>
        <v>1</v>
      </c>
    </row>
    <row r="181" spans="1:13" hidden="1" outlineLevel="1" x14ac:dyDescent="0.25">
      <c r="B181" s="210">
        <v>44044</v>
      </c>
      <c r="C181" s="47">
        <f t="shared" si="72"/>
        <v>63320.92</v>
      </c>
      <c r="D181" s="47">
        <f t="shared" si="73"/>
        <v>0</v>
      </c>
      <c r="E181" s="47">
        <v>42637.22</v>
      </c>
      <c r="F181" s="47">
        <v>-3545.5</v>
      </c>
      <c r="G181" s="47">
        <v>0</v>
      </c>
      <c r="H181" s="47">
        <v>0</v>
      </c>
      <c r="I181" s="47">
        <f t="shared" si="70"/>
        <v>39091.72</v>
      </c>
      <c r="J181" s="47">
        <v>55744.02</v>
      </c>
      <c r="K181" s="47">
        <v>46668.62</v>
      </c>
      <c r="L181" s="47">
        <v>0</v>
      </c>
      <c r="M181" t="b">
        <f t="shared" si="71"/>
        <v>1</v>
      </c>
    </row>
    <row r="182" spans="1:13" hidden="1" outlineLevel="1" x14ac:dyDescent="0.25">
      <c r="B182" s="210">
        <v>44075</v>
      </c>
      <c r="C182" s="47">
        <f t="shared" si="72"/>
        <v>46668.62</v>
      </c>
      <c r="D182" s="47">
        <f t="shared" si="73"/>
        <v>0</v>
      </c>
      <c r="E182" s="47">
        <v>43232.22</v>
      </c>
      <c r="F182" s="47">
        <v>0</v>
      </c>
      <c r="G182" s="47">
        <v>0</v>
      </c>
      <c r="H182" s="47">
        <v>0</v>
      </c>
      <c r="I182" s="47">
        <f t="shared" si="70"/>
        <v>43232.22</v>
      </c>
      <c r="J182" s="47">
        <v>42191.62</v>
      </c>
      <c r="K182" s="47">
        <v>47709.22</v>
      </c>
      <c r="L182" s="47">
        <v>0</v>
      </c>
      <c r="M182" t="b">
        <f t="shared" si="71"/>
        <v>1</v>
      </c>
    </row>
    <row r="183" spans="1:13" hidden="1" outlineLevel="1" x14ac:dyDescent="0.25">
      <c r="B183" s="210">
        <v>44105</v>
      </c>
      <c r="C183" s="47">
        <f t="shared" si="72"/>
        <v>47709.22</v>
      </c>
      <c r="D183" s="47">
        <f t="shared" si="73"/>
        <v>0</v>
      </c>
      <c r="E183" s="47">
        <v>43328.92</v>
      </c>
      <c r="F183" s="47">
        <v>0</v>
      </c>
      <c r="G183" s="47">
        <v>0</v>
      </c>
      <c r="H183" s="47">
        <v>0</v>
      </c>
      <c r="I183" s="47">
        <f t="shared" si="70"/>
        <v>43328.92</v>
      </c>
      <c r="J183" s="47">
        <v>43331.42</v>
      </c>
      <c r="K183" s="47">
        <v>47706.720000000001</v>
      </c>
      <c r="L183" s="47">
        <v>0</v>
      </c>
      <c r="M183" t="b">
        <f t="shared" si="71"/>
        <v>1</v>
      </c>
    </row>
    <row r="184" spans="1:13" hidden="1" outlineLevel="1" x14ac:dyDescent="0.25">
      <c r="B184" s="210">
        <v>44136</v>
      </c>
      <c r="C184" s="47">
        <f t="shared" si="72"/>
        <v>47706.720000000001</v>
      </c>
      <c r="D184" s="47">
        <f t="shared" si="73"/>
        <v>0</v>
      </c>
      <c r="E184" s="47">
        <v>42305.62</v>
      </c>
      <c r="F184" s="47">
        <v>-1793.31</v>
      </c>
      <c r="G184" s="47">
        <v>0</v>
      </c>
      <c r="H184" s="47">
        <v>0</v>
      </c>
      <c r="I184" s="47">
        <f t="shared" si="70"/>
        <v>40512.310000000005</v>
      </c>
      <c r="J184" s="47">
        <v>40523.51</v>
      </c>
      <c r="K184" s="47">
        <v>47695.519999999997</v>
      </c>
      <c r="L184" s="47">
        <v>0</v>
      </c>
      <c r="M184" t="b">
        <f t="shared" si="71"/>
        <v>1</v>
      </c>
    </row>
    <row r="185" spans="1:13" hidden="1" outlineLevel="1" x14ac:dyDescent="0.25">
      <c r="B185" s="210">
        <v>44166</v>
      </c>
      <c r="C185" s="47">
        <f t="shared" si="72"/>
        <v>47695.519999999997</v>
      </c>
      <c r="D185" s="47">
        <f t="shared" si="73"/>
        <v>0</v>
      </c>
      <c r="E185" s="47">
        <v>41726.58</v>
      </c>
      <c r="F185" s="47">
        <v>0</v>
      </c>
      <c r="G185" s="47">
        <v>0</v>
      </c>
      <c r="H185" s="47">
        <v>0</v>
      </c>
      <c r="I185" s="47">
        <f t="shared" si="70"/>
        <v>41726.58</v>
      </c>
      <c r="J185" s="47">
        <v>69516.25</v>
      </c>
      <c r="K185" s="211">
        <v>19939.43</v>
      </c>
      <c r="L185" s="211">
        <v>33.58</v>
      </c>
      <c r="M185" t="b">
        <f t="shared" si="71"/>
        <v>1</v>
      </c>
    </row>
    <row r="186" spans="1:13" collapsed="1" x14ac:dyDescent="0.25">
      <c r="A186" s="46" t="s">
        <v>2354</v>
      </c>
      <c r="B186" s="46"/>
      <c r="C186" s="211">
        <f>C187</f>
        <v>97583.31</v>
      </c>
      <c r="D186" s="211">
        <f>D187</f>
        <v>2.92</v>
      </c>
      <c r="E186" s="211">
        <f>SUM(E187:E198)</f>
        <v>515206.18</v>
      </c>
      <c r="F186" s="211">
        <f t="shared" ref="F186:J186" si="74">SUM(F187:F198)</f>
        <v>-4090.9599999999996</v>
      </c>
      <c r="G186" s="211">
        <f t="shared" si="74"/>
        <v>0</v>
      </c>
      <c r="H186" s="211">
        <f t="shared" si="74"/>
        <v>0</v>
      </c>
      <c r="I186" s="211">
        <f t="shared" si="74"/>
        <v>511115.22</v>
      </c>
      <c r="J186" s="211">
        <f t="shared" si="74"/>
        <v>344384.37</v>
      </c>
      <c r="K186" s="211">
        <f>K198</f>
        <v>264312.75</v>
      </c>
      <c r="L186" s="211">
        <f>L198</f>
        <v>1.51</v>
      </c>
      <c r="M186" s="46"/>
    </row>
    <row r="187" spans="1:13" hidden="1" outlineLevel="1" x14ac:dyDescent="0.25">
      <c r="B187" s="210">
        <v>43831</v>
      </c>
      <c r="C187" s="211">
        <v>97583.31</v>
      </c>
      <c r="D187" s="211">
        <v>2.92</v>
      </c>
      <c r="E187" s="47">
        <v>43033.35</v>
      </c>
      <c r="F187" s="47">
        <v>0</v>
      </c>
      <c r="G187" s="47">
        <v>0</v>
      </c>
      <c r="H187" s="47">
        <v>0</v>
      </c>
      <c r="I187" s="47">
        <f>E187+F187</f>
        <v>43033.35</v>
      </c>
      <c r="J187" s="47">
        <v>9367.25</v>
      </c>
      <c r="K187" s="47">
        <v>131246.49</v>
      </c>
      <c r="L187" s="47">
        <v>0</v>
      </c>
      <c r="M187" t="b">
        <f>C187-D187+I187-J187=K187-L187</f>
        <v>1</v>
      </c>
    </row>
    <row r="188" spans="1:13" hidden="1" outlineLevel="1" x14ac:dyDescent="0.25">
      <c r="B188" s="210">
        <v>43862</v>
      </c>
      <c r="C188" s="47">
        <f>K187</f>
        <v>131246.49</v>
      </c>
      <c r="D188" s="47">
        <f>L187</f>
        <v>0</v>
      </c>
      <c r="E188" s="47">
        <v>43033.35</v>
      </c>
      <c r="F188" s="47">
        <v>0</v>
      </c>
      <c r="G188" s="47">
        <v>0</v>
      </c>
      <c r="H188" s="47">
        <v>0</v>
      </c>
      <c r="I188" s="47">
        <f t="shared" ref="I188:I198" si="75">E188+F188</f>
        <v>43033.35</v>
      </c>
      <c r="J188" s="47">
        <v>20445.95</v>
      </c>
      <c r="K188" s="47">
        <v>153833.89000000001</v>
      </c>
      <c r="L188" s="47">
        <v>0</v>
      </c>
      <c r="M188" t="b">
        <f t="shared" ref="M188:M198" si="76">C188-D188+I188-J188=K188-L188</f>
        <v>1</v>
      </c>
    </row>
    <row r="189" spans="1:13" hidden="1" outlineLevel="1" x14ac:dyDescent="0.25">
      <c r="B189" s="210">
        <v>43891</v>
      </c>
      <c r="C189" s="47">
        <f t="shared" ref="C189:C198" si="77">K188</f>
        <v>153833.89000000001</v>
      </c>
      <c r="D189" s="47">
        <f t="shared" ref="D189:D198" si="78">L188</f>
        <v>0</v>
      </c>
      <c r="E189" s="47">
        <v>42854.27</v>
      </c>
      <c r="F189" s="47">
        <v>0</v>
      </c>
      <c r="G189" s="47">
        <v>0</v>
      </c>
      <c r="H189" s="47">
        <v>0</v>
      </c>
      <c r="I189" s="47">
        <f t="shared" si="75"/>
        <v>42854.27</v>
      </c>
      <c r="J189" s="47">
        <v>37095.82</v>
      </c>
      <c r="K189" s="47">
        <v>159592.34</v>
      </c>
      <c r="L189" s="47">
        <v>0</v>
      </c>
      <c r="M189" t="b">
        <f t="shared" si="76"/>
        <v>1</v>
      </c>
    </row>
    <row r="190" spans="1:13" hidden="1" outlineLevel="1" x14ac:dyDescent="0.25">
      <c r="B190" s="210">
        <v>43922</v>
      </c>
      <c r="C190" s="47">
        <f t="shared" si="77"/>
        <v>159592.34</v>
      </c>
      <c r="D190" s="47">
        <f t="shared" si="78"/>
        <v>0</v>
      </c>
      <c r="E190" s="47">
        <v>42854.27</v>
      </c>
      <c r="F190" s="47">
        <v>0</v>
      </c>
      <c r="G190" s="47">
        <v>0</v>
      </c>
      <c r="H190" s="47">
        <v>0</v>
      </c>
      <c r="I190" s="47">
        <f t="shared" si="75"/>
        <v>42854.27</v>
      </c>
      <c r="J190" s="47">
        <v>11028.95</v>
      </c>
      <c r="K190" s="47">
        <v>191417.66</v>
      </c>
      <c r="L190" s="47">
        <v>0</v>
      </c>
      <c r="M190" t="b">
        <f t="shared" si="76"/>
        <v>1</v>
      </c>
    </row>
    <row r="191" spans="1:13" hidden="1" outlineLevel="1" x14ac:dyDescent="0.25">
      <c r="B191" s="210">
        <v>43952</v>
      </c>
      <c r="C191" s="47">
        <f t="shared" si="77"/>
        <v>191417.66</v>
      </c>
      <c r="D191" s="47">
        <f t="shared" si="78"/>
        <v>0</v>
      </c>
      <c r="E191" s="47">
        <v>42854.27</v>
      </c>
      <c r="F191" s="47">
        <v>0</v>
      </c>
      <c r="G191" s="47">
        <v>0</v>
      </c>
      <c r="H191" s="47">
        <v>0</v>
      </c>
      <c r="I191" s="47">
        <f t="shared" si="75"/>
        <v>42854.27</v>
      </c>
      <c r="J191" s="47">
        <v>37293.39</v>
      </c>
      <c r="K191" s="47">
        <v>196978.54</v>
      </c>
      <c r="L191" s="47">
        <v>0</v>
      </c>
      <c r="M191" t="b">
        <f t="shared" si="76"/>
        <v>1</v>
      </c>
    </row>
    <row r="192" spans="1:13" hidden="1" outlineLevel="1" x14ac:dyDescent="0.25">
      <c r="B192" s="210">
        <v>43983</v>
      </c>
      <c r="C192" s="47">
        <f t="shared" si="77"/>
        <v>196978.54</v>
      </c>
      <c r="D192" s="47">
        <f t="shared" si="78"/>
        <v>0</v>
      </c>
      <c r="E192" s="47">
        <v>42854.27</v>
      </c>
      <c r="F192" s="47">
        <v>0</v>
      </c>
      <c r="G192" s="47">
        <v>0</v>
      </c>
      <c r="H192" s="47">
        <v>0</v>
      </c>
      <c r="I192" s="47">
        <f t="shared" si="75"/>
        <v>42854.27</v>
      </c>
      <c r="J192" s="47">
        <v>11009.2</v>
      </c>
      <c r="K192" s="47">
        <v>228823.61</v>
      </c>
      <c r="L192" s="47">
        <v>0</v>
      </c>
      <c r="M192" t="b">
        <f t="shared" si="76"/>
        <v>1</v>
      </c>
    </row>
    <row r="193" spans="2:13" hidden="1" outlineLevel="1" x14ac:dyDescent="0.25">
      <c r="B193" s="210">
        <v>44013</v>
      </c>
      <c r="C193" s="47">
        <f t="shared" si="77"/>
        <v>228823.61</v>
      </c>
      <c r="D193" s="47">
        <f t="shared" si="78"/>
        <v>0</v>
      </c>
      <c r="E193" s="47">
        <v>42963.32</v>
      </c>
      <c r="F193" s="47">
        <v>0</v>
      </c>
      <c r="G193" s="47">
        <v>0</v>
      </c>
      <c r="H193" s="47">
        <v>0</v>
      </c>
      <c r="I193" s="47">
        <f t="shared" si="75"/>
        <v>42963.32</v>
      </c>
      <c r="J193" s="47">
        <v>60451.99</v>
      </c>
      <c r="K193" s="47">
        <v>211334.94</v>
      </c>
      <c r="L193" s="47">
        <v>0</v>
      </c>
      <c r="M193" t="b">
        <f t="shared" si="76"/>
        <v>1</v>
      </c>
    </row>
    <row r="194" spans="2:13" hidden="1" outlineLevel="1" x14ac:dyDescent="0.25">
      <c r="B194" s="210">
        <v>44044</v>
      </c>
      <c r="C194" s="47">
        <f t="shared" si="77"/>
        <v>211334.94</v>
      </c>
      <c r="D194" s="47">
        <f t="shared" si="78"/>
        <v>0</v>
      </c>
      <c r="E194" s="47">
        <v>42963.32</v>
      </c>
      <c r="F194" s="47">
        <v>-4090.97</v>
      </c>
      <c r="G194" s="47">
        <v>0</v>
      </c>
      <c r="H194" s="47">
        <v>0</v>
      </c>
      <c r="I194" s="47">
        <f t="shared" si="75"/>
        <v>38872.35</v>
      </c>
      <c r="J194" s="47">
        <v>25685.759999999998</v>
      </c>
      <c r="K194" s="47">
        <v>224521.53</v>
      </c>
      <c r="L194" s="47">
        <v>0</v>
      </c>
      <c r="M194" t="b">
        <f t="shared" si="76"/>
        <v>1</v>
      </c>
    </row>
    <row r="195" spans="2:13" hidden="1" outlineLevel="1" x14ac:dyDescent="0.25">
      <c r="B195" s="210">
        <v>44075</v>
      </c>
      <c r="C195" s="47">
        <f t="shared" si="77"/>
        <v>224521.53</v>
      </c>
      <c r="D195" s="47">
        <f t="shared" si="78"/>
        <v>0</v>
      </c>
      <c r="E195" s="47">
        <v>42963.32</v>
      </c>
      <c r="F195" s="47">
        <v>0</v>
      </c>
      <c r="G195" s="47">
        <v>0</v>
      </c>
      <c r="H195" s="47">
        <v>0</v>
      </c>
      <c r="I195" s="47">
        <f t="shared" si="75"/>
        <v>42963.32</v>
      </c>
      <c r="J195" s="47">
        <v>30347.66</v>
      </c>
      <c r="K195" s="47">
        <v>237137.19</v>
      </c>
      <c r="L195" s="47">
        <v>0</v>
      </c>
      <c r="M195" t="b">
        <f t="shared" si="76"/>
        <v>1</v>
      </c>
    </row>
    <row r="196" spans="2:13" hidden="1" outlineLevel="1" x14ac:dyDescent="0.25">
      <c r="B196" s="210">
        <v>44105</v>
      </c>
      <c r="C196" s="47">
        <f t="shared" si="77"/>
        <v>237137.19</v>
      </c>
      <c r="D196" s="47">
        <f t="shared" si="78"/>
        <v>0</v>
      </c>
      <c r="E196" s="47">
        <v>42963.32</v>
      </c>
      <c r="F196" s="47">
        <v>0</v>
      </c>
      <c r="G196" s="47">
        <v>0</v>
      </c>
      <c r="H196" s="47">
        <v>0</v>
      </c>
      <c r="I196" s="47">
        <f t="shared" si="75"/>
        <v>42963.32</v>
      </c>
      <c r="J196" s="47">
        <v>27405.27</v>
      </c>
      <c r="K196" s="47">
        <v>252695.24</v>
      </c>
      <c r="L196" s="47">
        <v>0</v>
      </c>
      <c r="M196" t="b">
        <f t="shared" si="76"/>
        <v>1</v>
      </c>
    </row>
    <row r="197" spans="2:13" hidden="1" outlineLevel="1" x14ac:dyDescent="0.25">
      <c r="B197" s="210">
        <v>44136</v>
      </c>
      <c r="C197" s="47">
        <f t="shared" si="77"/>
        <v>252695.24</v>
      </c>
      <c r="D197" s="47">
        <f t="shared" si="78"/>
        <v>0</v>
      </c>
      <c r="E197" s="47">
        <v>42934.559999999998</v>
      </c>
      <c r="F197" s="47">
        <v>0</v>
      </c>
      <c r="G197" s="47">
        <v>0</v>
      </c>
      <c r="H197" s="47">
        <v>0</v>
      </c>
      <c r="I197" s="47">
        <f t="shared" si="75"/>
        <v>42934.559999999998</v>
      </c>
      <c r="J197" s="47">
        <v>19990.8</v>
      </c>
      <c r="K197" s="47">
        <v>275639</v>
      </c>
      <c r="L197" s="47">
        <v>0</v>
      </c>
      <c r="M197" t="b">
        <f t="shared" si="76"/>
        <v>1</v>
      </c>
    </row>
    <row r="198" spans="2:13" hidden="1" outlineLevel="1" x14ac:dyDescent="0.25">
      <c r="B198" s="210">
        <v>44166</v>
      </c>
      <c r="C198" s="47">
        <f t="shared" si="77"/>
        <v>275639</v>
      </c>
      <c r="D198" s="47">
        <f t="shared" si="78"/>
        <v>0</v>
      </c>
      <c r="E198" s="47">
        <v>42934.559999999998</v>
      </c>
      <c r="F198" s="47">
        <v>0.01</v>
      </c>
      <c r="G198" s="47">
        <v>0</v>
      </c>
      <c r="H198" s="47">
        <v>0</v>
      </c>
      <c r="I198" s="47">
        <f t="shared" si="75"/>
        <v>42934.57</v>
      </c>
      <c r="J198" s="47">
        <v>54262.33</v>
      </c>
      <c r="K198" s="211">
        <v>264312.75</v>
      </c>
      <c r="L198" s="211">
        <v>1.51</v>
      </c>
      <c r="M198" t="b">
        <f t="shared" si="76"/>
        <v>1</v>
      </c>
    </row>
    <row r="199" spans="2:13" collapsed="1" x14ac:dyDescent="0.25"/>
  </sheetData>
  <mergeCells count="2">
    <mergeCell ref="C1:D1"/>
    <mergeCell ref="K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1"/>
  <sheetViews>
    <sheetView topLeftCell="E70" workbookViewId="0">
      <selection activeCell="E391" sqref="E391"/>
    </sheetView>
  </sheetViews>
  <sheetFormatPr defaultRowHeight="15.75" x14ac:dyDescent="0.25"/>
  <cols>
    <col min="1" max="1" width="13.375" bestFit="1" customWidth="1"/>
    <col min="2" max="2" width="9.125" bestFit="1" customWidth="1"/>
    <col min="3" max="3" width="13.875" bestFit="1" customWidth="1"/>
    <col min="4" max="4" width="13.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5.25" bestFit="1" customWidth="1"/>
  </cols>
  <sheetData>
    <row r="1" spans="1:11" x14ac:dyDescent="0.25">
      <c r="A1" s="139" t="s">
        <v>1786</v>
      </c>
      <c r="B1" s="139" t="s">
        <v>1787</v>
      </c>
      <c r="C1" s="139" t="s">
        <v>1788</v>
      </c>
      <c r="D1" s="139" t="s">
        <v>1789</v>
      </c>
      <c r="E1" s="139" t="s">
        <v>1790</v>
      </c>
      <c r="F1" s="139" t="s">
        <v>1791</v>
      </c>
      <c r="G1" s="139" t="s">
        <v>1792</v>
      </c>
      <c r="H1" s="139" t="s">
        <v>1793</v>
      </c>
      <c r="I1" s="139" t="s">
        <v>1794</v>
      </c>
      <c r="J1" s="139" t="s">
        <v>1795</v>
      </c>
      <c r="K1" s="139" t="s">
        <v>1796</v>
      </c>
    </row>
    <row r="2" spans="1:11" x14ac:dyDescent="0.25">
      <c r="A2" s="140" t="s">
        <v>1797</v>
      </c>
      <c r="B2" s="141">
        <v>7</v>
      </c>
      <c r="C2" s="140" t="s">
        <v>1798</v>
      </c>
      <c r="D2" s="142">
        <v>1300000</v>
      </c>
      <c r="E2" s="140" t="s">
        <v>1799</v>
      </c>
      <c r="F2" s="140" t="s">
        <v>1800</v>
      </c>
      <c r="G2" s="140" t="s">
        <v>1801</v>
      </c>
      <c r="H2" s="140"/>
      <c r="I2" s="140" t="s">
        <v>1802</v>
      </c>
      <c r="J2" s="140" t="s">
        <v>1803</v>
      </c>
      <c r="K2" s="140" t="s">
        <v>1804</v>
      </c>
    </row>
    <row r="3" spans="1:11" x14ac:dyDescent="0.25">
      <c r="A3" s="140" t="s">
        <v>1797</v>
      </c>
      <c r="B3" s="141">
        <v>21</v>
      </c>
      <c r="C3" s="140" t="s">
        <v>1798</v>
      </c>
      <c r="D3" s="142">
        <v>1006191.68</v>
      </c>
      <c r="E3" s="140" t="s">
        <v>1799</v>
      </c>
      <c r="F3" s="140" t="s">
        <v>1800</v>
      </c>
      <c r="G3" s="140" t="s">
        <v>1801</v>
      </c>
      <c r="H3" s="140"/>
      <c r="I3" s="140" t="s">
        <v>1802</v>
      </c>
      <c r="J3" s="140" t="s">
        <v>1803</v>
      </c>
      <c r="K3" s="140" t="s">
        <v>1805</v>
      </c>
    </row>
    <row r="4" spans="1:11" x14ac:dyDescent="0.25">
      <c r="A4" s="140" t="s">
        <v>1797</v>
      </c>
      <c r="B4" s="141">
        <v>22</v>
      </c>
      <c r="C4" s="140" t="s">
        <v>1798</v>
      </c>
      <c r="D4" s="142">
        <v>311918.71000000002</v>
      </c>
      <c r="E4" s="140" t="s">
        <v>1799</v>
      </c>
      <c r="F4" s="140" t="s">
        <v>1800</v>
      </c>
      <c r="G4" s="140" t="s">
        <v>1801</v>
      </c>
      <c r="H4" s="140"/>
      <c r="I4" s="140" t="s">
        <v>1802</v>
      </c>
      <c r="J4" s="140" t="s">
        <v>1803</v>
      </c>
      <c r="K4" s="140" t="s">
        <v>1806</v>
      </c>
    </row>
    <row r="5" spans="1:11" x14ac:dyDescent="0.25">
      <c r="A5" s="140" t="s">
        <v>1807</v>
      </c>
      <c r="B5" s="141">
        <v>69</v>
      </c>
      <c r="C5" s="140" t="s">
        <v>1798</v>
      </c>
      <c r="D5" s="142">
        <v>1485921.5</v>
      </c>
      <c r="E5" s="140" t="s">
        <v>1799</v>
      </c>
      <c r="F5" s="140" t="s">
        <v>1800</v>
      </c>
      <c r="G5" s="140" t="s">
        <v>1801</v>
      </c>
      <c r="H5" s="140"/>
      <c r="I5" s="140" t="s">
        <v>1802</v>
      </c>
      <c r="J5" s="140" t="s">
        <v>1803</v>
      </c>
      <c r="K5" s="140" t="s">
        <v>1808</v>
      </c>
    </row>
    <row r="6" spans="1:11" x14ac:dyDescent="0.25">
      <c r="A6" s="140" t="s">
        <v>1807</v>
      </c>
      <c r="B6" s="141">
        <v>70</v>
      </c>
      <c r="C6" s="140" t="s">
        <v>1798</v>
      </c>
      <c r="D6" s="142">
        <v>556165.29</v>
      </c>
      <c r="E6" s="140" t="s">
        <v>1799</v>
      </c>
      <c r="F6" s="140" t="s">
        <v>1800</v>
      </c>
      <c r="G6" s="140" t="s">
        <v>1801</v>
      </c>
      <c r="H6" s="140"/>
      <c r="I6" s="140" t="s">
        <v>1802</v>
      </c>
      <c r="J6" s="140" t="s">
        <v>1803</v>
      </c>
      <c r="K6" s="140" t="s">
        <v>1809</v>
      </c>
    </row>
    <row r="7" spans="1:11" x14ac:dyDescent="0.25">
      <c r="A7" s="140" t="s">
        <v>1810</v>
      </c>
      <c r="B7" s="141">
        <v>103</v>
      </c>
      <c r="C7" s="140" t="s">
        <v>1798</v>
      </c>
      <c r="D7" s="142">
        <v>578830.36</v>
      </c>
      <c r="E7" s="140" t="s">
        <v>1799</v>
      </c>
      <c r="F7" s="140" t="s">
        <v>1800</v>
      </c>
      <c r="G7" s="140" t="s">
        <v>1801</v>
      </c>
      <c r="H7" s="140"/>
      <c r="I7" s="140" t="s">
        <v>1802</v>
      </c>
      <c r="J7" s="140" t="s">
        <v>1803</v>
      </c>
      <c r="K7" s="140" t="s">
        <v>1811</v>
      </c>
    </row>
    <row r="8" spans="1:11" x14ac:dyDescent="0.25">
      <c r="A8" s="140" t="s">
        <v>1810</v>
      </c>
      <c r="B8" s="141">
        <v>109</v>
      </c>
      <c r="C8" s="140" t="s">
        <v>1798</v>
      </c>
      <c r="D8" s="142">
        <v>924227.45</v>
      </c>
      <c r="E8" s="140" t="s">
        <v>1812</v>
      </c>
      <c r="F8" s="140" t="s">
        <v>1800</v>
      </c>
      <c r="G8" s="140" t="s">
        <v>1801</v>
      </c>
      <c r="H8" s="140"/>
      <c r="I8" s="140" t="s">
        <v>1802</v>
      </c>
      <c r="J8" s="140" t="s">
        <v>1803</v>
      </c>
      <c r="K8" s="140" t="s">
        <v>1813</v>
      </c>
    </row>
    <row r="9" spans="1:11" x14ac:dyDescent="0.25">
      <c r="A9" s="140" t="s">
        <v>1810</v>
      </c>
      <c r="B9" s="141">
        <v>110</v>
      </c>
      <c r="C9" s="140" t="s">
        <v>1798</v>
      </c>
      <c r="D9" s="142">
        <v>1090640.5</v>
      </c>
      <c r="E9" s="140" t="s">
        <v>1812</v>
      </c>
      <c r="F9" s="140" t="s">
        <v>1800</v>
      </c>
      <c r="G9" s="140" t="s">
        <v>1801</v>
      </c>
      <c r="H9" s="140"/>
      <c r="I9" s="140" t="s">
        <v>1802</v>
      </c>
      <c r="J9" s="140" t="s">
        <v>1803</v>
      </c>
      <c r="K9" s="140" t="s">
        <v>1814</v>
      </c>
    </row>
    <row r="10" spans="1:11" x14ac:dyDescent="0.25">
      <c r="A10" s="140" t="s">
        <v>1810</v>
      </c>
      <c r="B10" s="141">
        <v>111</v>
      </c>
      <c r="C10" s="140" t="s">
        <v>1798</v>
      </c>
      <c r="D10" s="142">
        <v>1482798.47</v>
      </c>
      <c r="E10" s="140" t="s">
        <v>1812</v>
      </c>
      <c r="F10" s="140" t="s">
        <v>1800</v>
      </c>
      <c r="G10" s="140" t="s">
        <v>1801</v>
      </c>
      <c r="H10" s="140"/>
      <c r="I10" s="140" t="s">
        <v>1802</v>
      </c>
      <c r="J10" s="140" t="s">
        <v>1803</v>
      </c>
      <c r="K10" s="140" t="s">
        <v>1815</v>
      </c>
    </row>
    <row r="11" spans="1:11" x14ac:dyDescent="0.25">
      <c r="A11" s="140" t="s">
        <v>1816</v>
      </c>
      <c r="B11" s="141">
        <v>181</v>
      </c>
      <c r="C11" s="140" t="s">
        <v>1798</v>
      </c>
      <c r="D11" s="142">
        <v>120404.08</v>
      </c>
      <c r="E11" s="140" t="s">
        <v>1799</v>
      </c>
      <c r="F11" s="140" t="s">
        <v>1800</v>
      </c>
      <c r="G11" s="140" t="s">
        <v>1801</v>
      </c>
      <c r="H11" s="140"/>
      <c r="I11" s="140" t="s">
        <v>1802</v>
      </c>
      <c r="J11" s="140" t="s">
        <v>1803</v>
      </c>
      <c r="K11" s="140" t="s">
        <v>1817</v>
      </c>
    </row>
    <row r="12" spans="1:11" x14ac:dyDescent="0.25">
      <c r="A12" s="140" t="s">
        <v>1816</v>
      </c>
      <c r="B12" s="141">
        <v>182</v>
      </c>
      <c r="C12" s="140" t="s">
        <v>1798</v>
      </c>
      <c r="D12" s="142">
        <v>1774419.39</v>
      </c>
      <c r="E12" s="140" t="s">
        <v>1799</v>
      </c>
      <c r="F12" s="140" t="s">
        <v>1800</v>
      </c>
      <c r="G12" s="140" t="s">
        <v>1801</v>
      </c>
      <c r="H12" s="140"/>
      <c r="I12" s="140" t="s">
        <v>1802</v>
      </c>
      <c r="J12" s="140" t="s">
        <v>1803</v>
      </c>
      <c r="K12" s="140" t="s">
        <v>1818</v>
      </c>
    </row>
    <row r="13" spans="1:11" x14ac:dyDescent="0.25">
      <c r="A13" s="140" t="s">
        <v>1819</v>
      </c>
      <c r="B13" s="141">
        <v>218</v>
      </c>
      <c r="C13" s="140" t="s">
        <v>1798</v>
      </c>
      <c r="D13" s="142">
        <v>2404354.7999999998</v>
      </c>
      <c r="E13" s="140" t="s">
        <v>1799</v>
      </c>
      <c r="F13" s="140" t="s">
        <v>1800</v>
      </c>
      <c r="G13" s="140" t="s">
        <v>1801</v>
      </c>
      <c r="H13" s="140"/>
      <c r="I13" s="140" t="s">
        <v>1802</v>
      </c>
      <c r="J13" s="140" t="s">
        <v>1803</v>
      </c>
      <c r="K13" s="140" t="s">
        <v>1820</v>
      </c>
    </row>
    <row r="14" spans="1:11" x14ac:dyDescent="0.25">
      <c r="A14" s="140" t="s">
        <v>1821</v>
      </c>
      <c r="B14" s="141">
        <v>325</v>
      </c>
      <c r="C14" s="140" t="s">
        <v>1798</v>
      </c>
      <c r="D14" s="142">
        <v>845842</v>
      </c>
      <c r="E14" s="140" t="s">
        <v>1812</v>
      </c>
      <c r="F14" s="140" t="s">
        <v>1800</v>
      </c>
      <c r="G14" s="140" t="s">
        <v>1801</v>
      </c>
      <c r="H14" s="140"/>
      <c r="I14" s="140" t="s">
        <v>1802</v>
      </c>
      <c r="J14" s="140" t="s">
        <v>1803</v>
      </c>
      <c r="K14" s="140" t="s">
        <v>1822</v>
      </c>
    </row>
    <row r="15" spans="1:11" x14ac:dyDescent="0.25">
      <c r="A15" s="140" t="s">
        <v>1821</v>
      </c>
      <c r="B15" s="141">
        <v>326</v>
      </c>
      <c r="C15" s="140" t="s">
        <v>1798</v>
      </c>
      <c r="D15" s="142">
        <v>280386.46000000002</v>
      </c>
      <c r="E15" s="140" t="s">
        <v>1812</v>
      </c>
      <c r="F15" s="140" t="s">
        <v>1800</v>
      </c>
      <c r="G15" s="140" t="s">
        <v>1801</v>
      </c>
      <c r="H15" s="140"/>
      <c r="I15" s="140" t="s">
        <v>1802</v>
      </c>
      <c r="J15" s="140" t="s">
        <v>1803</v>
      </c>
      <c r="K15" s="140" t="s">
        <v>1823</v>
      </c>
    </row>
    <row r="16" spans="1:11" x14ac:dyDescent="0.25">
      <c r="A16" s="140" t="s">
        <v>1821</v>
      </c>
      <c r="B16" s="141">
        <v>327</v>
      </c>
      <c r="C16" s="140" t="s">
        <v>1798</v>
      </c>
      <c r="D16" s="142">
        <v>798234.98</v>
      </c>
      <c r="E16" s="140" t="s">
        <v>1812</v>
      </c>
      <c r="F16" s="140" t="s">
        <v>1800</v>
      </c>
      <c r="G16" s="140" t="s">
        <v>1801</v>
      </c>
      <c r="H16" s="140"/>
      <c r="I16" s="140" t="s">
        <v>1802</v>
      </c>
      <c r="J16" s="140" t="s">
        <v>1803</v>
      </c>
      <c r="K16" s="140" t="s">
        <v>1824</v>
      </c>
    </row>
    <row r="17" spans="1:11" x14ac:dyDescent="0.25">
      <c r="A17" s="140" t="s">
        <v>1825</v>
      </c>
      <c r="B17" s="141">
        <v>350</v>
      </c>
      <c r="C17" s="140" t="s">
        <v>1798</v>
      </c>
      <c r="D17" s="142">
        <v>670984.84</v>
      </c>
      <c r="E17" s="140" t="s">
        <v>1799</v>
      </c>
      <c r="F17" s="140" t="s">
        <v>1800</v>
      </c>
      <c r="G17" s="140" t="s">
        <v>1801</v>
      </c>
      <c r="H17" s="140"/>
      <c r="I17" s="140" t="s">
        <v>1802</v>
      </c>
      <c r="J17" s="140" t="s">
        <v>1803</v>
      </c>
      <c r="K17" s="140" t="s">
        <v>1826</v>
      </c>
    </row>
    <row r="18" spans="1:11" x14ac:dyDescent="0.25">
      <c r="A18" s="140" t="s">
        <v>1825</v>
      </c>
      <c r="B18" s="141">
        <v>351</v>
      </c>
      <c r="C18" s="140" t="s">
        <v>1798</v>
      </c>
      <c r="D18" s="142">
        <v>501304.52</v>
      </c>
      <c r="E18" s="140" t="s">
        <v>1799</v>
      </c>
      <c r="F18" s="140" t="s">
        <v>1800</v>
      </c>
      <c r="G18" s="140" t="s">
        <v>1801</v>
      </c>
      <c r="H18" s="140"/>
      <c r="I18" s="140" t="s">
        <v>1802</v>
      </c>
      <c r="J18" s="140" t="s">
        <v>1803</v>
      </c>
      <c r="K18" s="140" t="s">
        <v>1827</v>
      </c>
    </row>
    <row r="19" spans="1:11" x14ac:dyDescent="0.25">
      <c r="A19" s="140" t="s">
        <v>1828</v>
      </c>
      <c r="B19" s="141">
        <v>476</v>
      </c>
      <c r="C19" s="140" t="s">
        <v>1798</v>
      </c>
      <c r="D19" s="142">
        <v>685034.64</v>
      </c>
      <c r="E19" s="140" t="s">
        <v>1799</v>
      </c>
      <c r="F19" s="140" t="s">
        <v>1800</v>
      </c>
      <c r="G19" s="140" t="s">
        <v>1801</v>
      </c>
      <c r="H19" s="140"/>
      <c r="I19" s="140" t="s">
        <v>1802</v>
      </c>
      <c r="J19" s="140" t="s">
        <v>1803</v>
      </c>
      <c r="K19" s="140" t="s">
        <v>1829</v>
      </c>
    </row>
    <row r="20" spans="1:11" x14ac:dyDescent="0.25">
      <c r="A20" s="140" t="s">
        <v>1830</v>
      </c>
      <c r="B20" s="141">
        <v>573</v>
      </c>
      <c r="C20" s="140" t="s">
        <v>1798</v>
      </c>
      <c r="D20" s="142">
        <v>636760.31999999995</v>
      </c>
      <c r="E20" s="140" t="s">
        <v>1799</v>
      </c>
      <c r="F20" s="140" t="s">
        <v>1800</v>
      </c>
      <c r="G20" s="140" t="s">
        <v>1801</v>
      </c>
      <c r="H20" s="140"/>
      <c r="I20" s="140" t="s">
        <v>1802</v>
      </c>
      <c r="J20" s="140" t="s">
        <v>1803</v>
      </c>
      <c r="K20" s="140" t="s">
        <v>1831</v>
      </c>
    </row>
    <row r="21" spans="1:11" x14ac:dyDescent="0.25">
      <c r="A21" s="140" t="s">
        <v>1832</v>
      </c>
      <c r="B21" s="141">
        <v>635</v>
      </c>
      <c r="C21" s="140" t="s">
        <v>1798</v>
      </c>
      <c r="D21" s="142">
        <v>1793988.35</v>
      </c>
      <c r="E21" s="140" t="s">
        <v>1799</v>
      </c>
      <c r="F21" s="140" t="s">
        <v>1800</v>
      </c>
      <c r="G21" s="140" t="s">
        <v>1801</v>
      </c>
      <c r="H21" s="140"/>
      <c r="I21" s="140" t="s">
        <v>1802</v>
      </c>
      <c r="J21" s="140" t="s">
        <v>1803</v>
      </c>
      <c r="K21" s="140" t="s">
        <v>1833</v>
      </c>
    </row>
    <row r="22" spans="1:11" x14ac:dyDescent="0.25">
      <c r="A22" s="140" t="s">
        <v>1834</v>
      </c>
      <c r="B22" s="141">
        <v>687</v>
      </c>
      <c r="C22" s="140" t="s">
        <v>1798</v>
      </c>
      <c r="D22" s="142">
        <v>2681114.38</v>
      </c>
      <c r="E22" s="140" t="s">
        <v>1799</v>
      </c>
      <c r="F22" s="140" t="s">
        <v>1800</v>
      </c>
      <c r="G22" s="140" t="s">
        <v>1801</v>
      </c>
      <c r="H22" s="140"/>
      <c r="I22" s="140" t="s">
        <v>1802</v>
      </c>
      <c r="J22" s="140" t="s">
        <v>1803</v>
      </c>
      <c r="K22" s="140" t="s">
        <v>1835</v>
      </c>
    </row>
    <row r="23" spans="1:11" x14ac:dyDescent="0.25">
      <c r="A23" s="140" t="s">
        <v>1836</v>
      </c>
      <c r="B23" s="141">
        <v>726</v>
      </c>
      <c r="C23" s="140" t="s">
        <v>1798</v>
      </c>
      <c r="D23" s="142">
        <v>559809.47</v>
      </c>
      <c r="E23" s="140" t="s">
        <v>1799</v>
      </c>
      <c r="F23" s="140" t="s">
        <v>1800</v>
      </c>
      <c r="G23" s="140" t="s">
        <v>1801</v>
      </c>
      <c r="H23" s="140"/>
      <c r="I23" s="140" t="s">
        <v>1802</v>
      </c>
      <c r="J23" s="140" t="s">
        <v>1803</v>
      </c>
      <c r="K23" s="140" t="s">
        <v>1837</v>
      </c>
    </row>
    <row r="24" spans="1:11" x14ac:dyDescent="0.25">
      <c r="A24" s="140" t="s">
        <v>1836</v>
      </c>
      <c r="B24" s="141">
        <v>727</v>
      </c>
      <c r="C24" s="140" t="s">
        <v>1798</v>
      </c>
      <c r="D24" s="142">
        <v>1712306.8</v>
      </c>
      <c r="E24" s="140" t="s">
        <v>1799</v>
      </c>
      <c r="F24" s="140" t="s">
        <v>1800</v>
      </c>
      <c r="G24" s="140" t="s">
        <v>1801</v>
      </c>
      <c r="H24" s="140"/>
      <c r="I24" s="140" t="s">
        <v>1802</v>
      </c>
      <c r="J24" s="140" t="s">
        <v>1803</v>
      </c>
      <c r="K24" s="140" t="s">
        <v>1838</v>
      </c>
    </row>
    <row r="25" spans="1:11" x14ac:dyDescent="0.25">
      <c r="A25" s="140" t="s">
        <v>1839</v>
      </c>
      <c r="B25" s="141">
        <v>792</v>
      </c>
      <c r="C25" s="140" t="s">
        <v>1798</v>
      </c>
      <c r="D25" s="142">
        <v>834388.32</v>
      </c>
      <c r="E25" s="140" t="s">
        <v>1799</v>
      </c>
      <c r="F25" s="140" t="s">
        <v>1800</v>
      </c>
      <c r="G25" s="140" t="s">
        <v>1801</v>
      </c>
      <c r="H25" s="140"/>
      <c r="I25" s="140" t="s">
        <v>1802</v>
      </c>
      <c r="J25" s="140" t="s">
        <v>1803</v>
      </c>
      <c r="K25" s="140" t="s">
        <v>1840</v>
      </c>
    </row>
    <row r="26" spans="1:11" x14ac:dyDescent="0.25">
      <c r="A26" s="140" t="s">
        <v>1839</v>
      </c>
      <c r="B26" s="141">
        <v>793</v>
      </c>
      <c r="C26" s="140" t="s">
        <v>1798</v>
      </c>
      <c r="D26" s="142">
        <v>339731.78</v>
      </c>
      <c r="E26" s="140" t="s">
        <v>1799</v>
      </c>
      <c r="F26" s="140" t="s">
        <v>1800</v>
      </c>
      <c r="G26" s="140" t="s">
        <v>1801</v>
      </c>
      <c r="H26" s="140"/>
      <c r="I26" s="140" t="s">
        <v>1802</v>
      </c>
      <c r="J26" s="140" t="s">
        <v>1803</v>
      </c>
      <c r="K26" s="140" t="s">
        <v>1841</v>
      </c>
    </row>
    <row r="27" spans="1:11" x14ac:dyDescent="0.25">
      <c r="A27" s="140" t="s">
        <v>1839</v>
      </c>
      <c r="B27" s="141">
        <v>794</v>
      </c>
      <c r="C27" s="140" t="s">
        <v>1798</v>
      </c>
      <c r="D27" s="142">
        <v>75792.850000000006</v>
      </c>
      <c r="E27" s="140" t="s">
        <v>1799</v>
      </c>
      <c r="F27" s="140" t="s">
        <v>1800</v>
      </c>
      <c r="G27" s="140" t="s">
        <v>1801</v>
      </c>
      <c r="H27" s="140"/>
      <c r="I27" s="140" t="s">
        <v>1802</v>
      </c>
      <c r="J27" s="140" t="s">
        <v>1803</v>
      </c>
      <c r="K27" s="140" t="s">
        <v>1842</v>
      </c>
    </row>
    <row r="28" spans="1:11" x14ac:dyDescent="0.25">
      <c r="A28" s="140" t="s">
        <v>1839</v>
      </c>
      <c r="B28" s="141">
        <v>799</v>
      </c>
      <c r="C28" s="140" t="s">
        <v>1798</v>
      </c>
      <c r="D28" s="142">
        <v>1410251.41</v>
      </c>
      <c r="E28" s="140" t="s">
        <v>1812</v>
      </c>
      <c r="F28" s="140" t="s">
        <v>1800</v>
      </c>
      <c r="G28" s="140" t="s">
        <v>1801</v>
      </c>
      <c r="H28" s="140"/>
      <c r="I28" s="140" t="s">
        <v>1802</v>
      </c>
      <c r="J28" s="140" t="s">
        <v>1803</v>
      </c>
      <c r="K28" s="140" t="s">
        <v>1843</v>
      </c>
    </row>
    <row r="29" spans="1:11" x14ac:dyDescent="0.25">
      <c r="A29" s="140" t="s">
        <v>1839</v>
      </c>
      <c r="B29" s="141">
        <v>800</v>
      </c>
      <c r="C29" s="140" t="s">
        <v>1798</v>
      </c>
      <c r="D29" s="142">
        <v>243640.91</v>
      </c>
      <c r="E29" s="140" t="s">
        <v>1812</v>
      </c>
      <c r="F29" s="140" t="s">
        <v>1800</v>
      </c>
      <c r="G29" s="140" t="s">
        <v>1801</v>
      </c>
      <c r="H29" s="140"/>
      <c r="I29" s="140" t="s">
        <v>1802</v>
      </c>
      <c r="J29" s="140" t="s">
        <v>1803</v>
      </c>
      <c r="K29" s="140" t="s">
        <v>1844</v>
      </c>
    </row>
    <row r="30" spans="1:11" x14ac:dyDescent="0.25">
      <c r="A30" s="140" t="s">
        <v>1845</v>
      </c>
      <c r="B30" s="141">
        <v>832</v>
      </c>
      <c r="C30" s="140" t="s">
        <v>1798</v>
      </c>
      <c r="D30" s="142">
        <v>125263.63</v>
      </c>
      <c r="E30" s="140" t="s">
        <v>1799</v>
      </c>
      <c r="F30" s="140" t="s">
        <v>1800</v>
      </c>
      <c r="G30" s="140" t="s">
        <v>1801</v>
      </c>
      <c r="H30" s="140"/>
      <c r="I30" s="140" t="s">
        <v>1802</v>
      </c>
      <c r="J30" s="140" t="s">
        <v>1803</v>
      </c>
      <c r="K30" s="140" t="s">
        <v>1846</v>
      </c>
    </row>
    <row r="31" spans="1:11" x14ac:dyDescent="0.25">
      <c r="A31" s="140" t="s">
        <v>1845</v>
      </c>
      <c r="B31" s="141">
        <v>833</v>
      </c>
      <c r="C31" s="140" t="s">
        <v>1798</v>
      </c>
      <c r="D31" s="142">
        <v>693069.14</v>
      </c>
      <c r="E31" s="140" t="s">
        <v>1799</v>
      </c>
      <c r="F31" s="140" t="s">
        <v>1800</v>
      </c>
      <c r="G31" s="140" t="s">
        <v>1801</v>
      </c>
      <c r="H31" s="140"/>
      <c r="I31" s="140" t="s">
        <v>1802</v>
      </c>
      <c r="J31" s="140" t="s">
        <v>1803</v>
      </c>
      <c r="K31" s="140" t="s">
        <v>1847</v>
      </c>
    </row>
    <row r="32" spans="1:11" x14ac:dyDescent="0.25">
      <c r="A32" s="140" t="s">
        <v>1845</v>
      </c>
      <c r="B32" s="141">
        <v>834</v>
      </c>
      <c r="C32" s="140" t="s">
        <v>1798</v>
      </c>
      <c r="D32" s="142">
        <v>959719.26</v>
      </c>
      <c r="E32" s="140" t="s">
        <v>1799</v>
      </c>
      <c r="F32" s="140" t="s">
        <v>1800</v>
      </c>
      <c r="G32" s="140" t="s">
        <v>1801</v>
      </c>
      <c r="H32" s="140"/>
      <c r="I32" s="140" t="s">
        <v>1802</v>
      </c>
      <c r="J32" s="140" t="s">
        <v>1803</v>
      </c>
      <c r="K32" s="140" t="s">
        <v>1848</v>
      </c>
    </row>
    <row r="33" spans="1:11" x14ac:dyDescent="0.25">
      <c r="A33" s="140" t="s">
        <v>1849</v>
      </c>
      <c r="B33" s="141">
        <v>876</v>
      </c>
      <c r="C33" s="140" t="s">
        <v>1798</v>
      </c>
      <c r="D33" s="142">
        <v>735180.09</v>
      </c>
      <c r="E33" s="140" t="s">
        <v>1799</v>
      </c>
      <c r="F33" s="140" t="s">
        <v>1800</v>
      </c>
      <c r="G33" s="140" t="s">
        <v>1801</v>
      </c>
      <c r="H33" s="140"/>
      <c r="I33" s="140" t="s">
        <v>1802</v>
      </c>
      <c r="J33" s="140" t="s">
        <v>1803</v>
      </c>
      <c r="K33" s="140" t="s">
        <v>1850</v>
      </c>
    </row>
    <row r="34" spans="1:11" x14ac:dyDescent="0.25">
      <c r="A34" s="140" t="s">
        <v>1849</v>
      </c>
      <c r="B34" s="141">
        <v>877</v>
      </c>
      <c r="C34" s="140" t="s">
        <v>1798</v>
      </c>
      <c r="D34" s="142">
        <v>376231.27</v>
      </c>
      <c r="E34" s="140" t="s">
        <v>1799</v>
      </c>
      <c r="F34" s="140" t="s">
        <v>1800</v>
      </c>
      <c r="G34" s="140" t="s">
        <v>1801</v>
      </c>
      <c r="H34" s="140"/>
      <c r="I34" s="140" t="s">
        <v>1802</v>
      </c>
      <c r="J34" s="140" t="s">
        <v>1803</v>
      </c>
      <c r="K34" s="140" t="s">
        <v>1851</v>
      </c>
    </row>
    <row r="35" spans="1:11" x14ac:dyDescent="0.25">
      <c r="A35" s="140" t="s">
        <v>1852</v>
      </c>
      <c r="B35" s="141">
        <v>926</v>
      </c>
      <c r="C35" s="140" t="s">
        <v>1798</v>
      </c>
      <c r="D35" s="142">
        <v>1910073.26</v>
      </c>
      <c r="E35" s="140" t="s">
        <v>1799</v>
      </c>
      <c r="F35" s="140" t="s">
        <v>1800</v>
      </c>
      <c r="G35" s="140" t="s">
        <v>1801</v>
      </c>
      <c r="H35" s="140"/>
      <c r="I35" s="140" t="s">
        <v>1802</v>
      </c>
      <c r="J35" s="140" t="s">
        <v>1803</v>
      </c>
      <c r="K35" s="140" t="s">
        <v>1853</v>
      </c>
    </row>
    <row r="36" spans="1:11" x14ac:dyDescent="0.25">
      <c r="A36" s="140" t="s">
        <v>1854</v>
      </c>
      <c r="B36" s="141">
        <v>1108</v>
      </c>
      <c r="C36" s="140" t="s">
        <v>1798</v>
      </c>
      <c r="D36" s="142">
        <v>720366.84</v>
      </c>
      <c r="E36" s="140" t="s">
        <v>1799</v>
      </c>
      <c r="F36" s="140" t="s">
        <v>1800</v>
      </c>
      <c r="G36" s="140" t="s">
        <v>1801</v>
      </c>
      <c r="H36" s="140"/>
      <c r="I36" s="140" t="s">
        <v>1802</v>
      </c>
      <c r="J36" s="140" t="s">
        <v>1803</v>
      </c>
      <c r="K36" s="140" t="s">
        <v>1855</v>
      </c>
    </row>
    <row r="37" spans="1:11" x14ac:dyDescent="0.25">
      <c r="A37" s="140" t="s">
        <v>1854</v>
      </c>
      <c r="B37" s="141">
        <v>1109</v>
      </c>
      <c r="C37" s="140" t="s">
        <v>1798</v>
      </c>
      <c r="D37" s="142">
        <v>525284.94999999995</v>
      </c>
      <c r="E37" s="140" t="s">
        <v>1799</v>
      </c>
      <c r="F37" s="140" t="s">
        <v>1800</v>
      </c>
      <c r="G37" s="140" t="s">
        <v>1801</v>
      </c>
      <c r="H37" s="140"/>
      <c r="I37" s="140" t="s">
        <v>1802</v>
      </c>
      <c r="J37" s="140" t="s">
        <v>1803</v>
      </c>
      <c r="K37" s="140" t="s">
        <v>1856</v>
      </c>
    </row>
    <row r="38" spans="1:11" x14ac:dyDescent="0.25">
      <c r="A38" s="140" t="s">
        <v>1857</v>
      </c>
      <c r="B38" s="141">
        <v>1149</v>
      </c>
      <c r="C38" s="140" t="s">
        <v>1798</v>
      </c>
      <c r="D38" s="142">
        <v>607274.18999999994</v>
      </c>
      <c r="E38" s="140" t="s">
        <v>1799</v>
      </c>
      <c r="F38" s="140" t="s">
        <v>1800</v>
      </c>
      <c r="G38" s="140" t="s">
        <v>1801</v>
      </c>
      <c r="H38" s="140"/>
      <c r="I38" s="140" t="s">
        <v>1802</v>
      </c>
      <c r="J38" s="140" t="s">
        <v>1803</v>
      </c>
      <c r="K38" s="140" t="s">
        <v>1858</v>
      </c>
    </row>
    <row r="39" spans="1:11" x14ac:dyDescent="0.25">
      <c r="A39" s="140" t="s">
        <v>1857</v>
      </c>
      <c r="B39" s="141">
        <v>1150</v>
      </c>
      <c r="C39" s="140" t="s">
        <v>1798</v>
      </c>
      <c r="D39" s="142">
        <v>634366.12</v>
      </c>
      <c r="E39" s="140" t="s">
        <v>1799</v>
      </c>
      <c r="F39" s="140" t="s">
        <v>1800</v>
      </c>
      <c r="G39" s="140" t="s">
        <v>1801</v>
      </c>
      <c r="H39" s="140"/>
      <c r="I39" s="140" t="s">
        <v>1802</v>
      </c>
      <c r="J39" s="140" t="s">
        <v>1803</v>
      </c>
      <c r="K39" s="140" t="s">
        <v>1859</v>
      </c>
    </row>
    <row r="40" spans="1:11" x14ac:dyDescent="0.25">
      <c r="A40" s="140" t="s">
        <v>1857</v>
      </c>
      <c r="B40" s="141">
        <v>1151</v>
      </c>
      <c r="C40" s="140" t="s">
        <v>1798</v>
      </c>
      <c r="D40" s="142">
        <v>597805.09</v>
      </c>
      <c r="E40" s="140" t="s">
        <v>1799</v>
      </c>
      <c r="F40" s="140" t="s">
        <v>1800</v>
      </c>
      <c r="G40" s="140" t="s">
        <v>1801</v>
      </c>
      <c r="H40" s="140"/>
      <c r="I40" s="140" t="s">
        <v>1802</v>
      </c>
      <c r="J40" s="140" t="s">
        <v>1803</v>
      </c>
      <c r="K40" s="140" t="s">
        <v>1860</v>
      </c>
    </row>
    <row r="41" spans="1:11" x14ac:dyDescent="0.25">
      <c r="A41" s="140" t="s">
        <v>1861</v>
      </c>
      <c r="B41" s="141">
        <v>1189</v>
      </c>
      <c r="C41" s="140" t="s">
        <v>1798</v>
      </c>
      <c r="D41" s="142">
        <v>2528145.37</v>
      </c>
      <c r="E41" s="140" t="s">
        <v>1799</v>
      </c>
      <c r="F41" s="140" t="s">
        <v>1800</v>
      </c>
      <c r="G41" s="140" t="s">
        <v>1801</v>
      </c>
      <c r="H41" s="140"/>
      <c r="I41" s="140" t="s">
        <v>1802</v>
      </c>
      <c r="J41" s="140" t="s">
        <v>1803</v>
      </c>
      <c r="K41" s="140" t="s">
        <v>1862</v>
      </c>
    </row>
    <row r="42" spans="1:11" x14ac:dyDescent="0.25">
      <c r="A42" s="140" t="s">
        <v>1863</v>
      </c>
      <c r="B42" s="141">
        <v>1191</v>
      </c>
      <c r="C42" s="140" t="s">
        <v>1798</v>
      </c>
      <c r="D42" s="142">
        <v>1503569.33</v>
      </c>
      <c r="E42" s="140" t="s">
        <v>1799</v>
      </c>
      <c r="F42" s="140" t="s">
        <v>1800</v>
      </c>
      <c r="G42" s="140" t="s">
        <v>1801</v>
      </c>
      <c r="H42" s="140"/>
      <c r="I42" s="140" t="s">
        <v>1802</v>
      </c>
      <c r="J42" s="140" t="s">
        <v>1803</v>
      </c>
      <c r="K42" s="140" t="s">
        <v>1864</v>
      </c>
    </row>
    <row r="43" spans="1:11" x14ac:dyDescent="0.25">
      <c r="A43" s="140" t="s">
        <v>1865</v>
      </c>
      <c r="B43" s="141">
        <v>1259</v>
      </c>
      <c r="C43" s="140" t="s">
        <v>1798</v>
      </c>
      <c r="D43" s="142">
        <v>1877083.34</v>
      </c>
      <c r="E43" s="140" t="s">
        <v>1812</v>
      </c>
      <c r="F43" s="140" t="s">
        <v>1800</v>
      </c>
      <c r="G43" s="140" t="s">
        <v>1801</v>
      </c>
      <c r="H43" s="140"/>
      <c r="I43" s="140" t="s">
        <v>1802</v>
      </c>
      <c r="J43" s="140" t="s">
        <v>1803</v>
      </c>
      <c r="K43" s="140" t="s">
        <v>1866</v>
      </c>
    </row>
    <row r="44" spans="1:11" x14ac:dyDescent="0.25">
      <c r="A44" s="140" t="s">
        <v>1867</v>
      </c>
      <c r="B44" s="141">
        <v>1462</v>
      </c>
      <c r="C44" s="140" t="s">
        <v>1798</v>
      </c>
      <c r="D44" s="142">
        <v>500000</v>
      </c>
      <c r="E44" s="140" t="s">
        <v>1799</v>
      </c>
      <c r="F44" s="140" t="s">
        <v>1800</v>
      </c>
      <c r="G44" s="140" t="s">
        <v>1801</v>
      </c>
      <c r="H44" s="140"/>
      <c r="I44" s="140" t="s">
        <v>1802</v>
      </c>
      <c r="J44" s="140" t="s">
        <v>1803</v>
      </c>
      <c r="K44" s="140" t="s">
        <v>1868</v>
      </c>
    </row>
    <row r="45" spans="1:11" x14ac:dyDescent="0.25">
      <c r="A45" s="140" t="s">
        <v>1869</v>
      </c>
      <c r="B45" s="141">
        <v>1474</v>
      </c>
      <c r="C45" s="140" t="s">
        <v>1798</v>
      </c>
      <c r="D45" s="142">
        <v>1393581.18</v>
      </c>
      <c r="E45" s="140" t="s">
        <v>1799</v>
      </c>
      <c r="F45" s="140" t="s">
        <v>1800</v>
      </c>
      <c r="G45" s="140" t="s">
        <v>1801</v>
      </c>
      <c r="H45" s="140"/>
      <c r="I45" s="140" t="s">
        <v>1802</v>
      </c>
      <c r="J45" s="140" t="s">
        <v>1803</v>
      </c>
      <c r="K45" s="140" t="s">
        <v>1870</v>
      </c>
    </row>
    <row r="46" spans="1:11" x14ac:dyDescent="0.25">
      <c r="A46" s="140" t="s">
        <v>1871</v>
      </c>
      <c r="B46" s="141">
        <v>1681</v>
      </c>
      <c r="C46" s="140" t="s">
        <v>1798</v>
      </c>
      <c r="D46" s="142">
        <v>800000</v>
      </c>
      <c r="E46" s="140" t="s">
        <v>1812</v>
      </c>
      <c r="F46" s="140" t="s">
        <v>1800</v>
      </c>
      <c r="G46" s="140" t="s">
        <v>1801</v>
      </c>
      <c r="H46" s="140"/>
      <c r="I46" s="140" t="s">
        <v>1802</v>
      </c>
      <c r="J46" s="140" t="s">
        <v>1803</v>
      </c>
      <c r="K46" s="140" t="s">
        <v>1872</v>
      </c>
    </row>
    <row r="47" spans="1:11" x14ac:dyDescent="0.25">
      <c r="A47" s="140" t="s">
        <v>1873</v>
      </c>
      <c r="B47" s="141">
        <v>1753</v>
      </c>
      <c r="C47" s="140" t="s">
        <v>1798</v>
      </c>
      <c r="D47" s="142">
        <v>1000028.65</v>
      </c>
      <c r="E47" s="140" t="s">
        <v>1799</v>
      </c>
      <c r="F47" s="140" t="s">
        <v>1800</v>
      </c>
      <c r="G47" s="140" t="s">
        <v>1801</v>
      </c>
      <c r="H47" s="140"/>
      <c r="I47" s="140" t="s">
        <v>1802</v>
      </c>
      <c r="J47" s="140" t="s">
        <v>1803</v>
      </c>
      <c r="K47" s="140" t="s">
        <v>1874</v>
      </c>
    </row>
    <row r="48" spans="1:11" x14ac:dyDescent="0.25">
      <c r="A48" s="140" t="s">
        <v>1873</v>
      </c>
      <c r="B48" s="141">
        <v>1754</v>
      </c>
      <c r="C48" s="140" t="s">
        <v>1798</v>
      </c>
      <c r="D48" s="142">
        <v>2890015.31</v>
      </c>
      <c r="E48" s="140" t="s">
        <v>1799</v>
      </c>
      <c r="F48" s="140" t="s">
        <v>1800</v>
      </c>
      <c r="G48" s="140" t="s">
        <v>1801</v>
      </c>
      <c r="H48" s="140"/>
      <c r="I48" s="140" t="s">
        <v>1802</v>
      </c>
      <c r="J48" s="140" t="s">
        <v>1803</v>
      </c>
      <c r="K48" s="140" t="s">
        <v>1875</v>
      </c>
    </row>
    <row r="49" spans="1:11" x14ac:dyDescent="0.25">
      <c r="A49" s="140" t="s">
        <v>1873</v>
      </c>
      <c r="B49" s="141">
        <v>1755</v>
      </c>
      <c r="C49" s="140" t="s">
        <v>1798</v>
      </c>
      <c r="D49" s="142">
        <v>161426.59</v>
      </c>
      <c r="E49" s="140" t="s">
        <v>1799</v>
      </c>
      <c r="F49" s="140" t="s">
        <v>1800</v>
      </c>
      <c r="G49" s="140" t="s">
        <v>1801</v>
      </c>
      <c r="H49" s="140"/>
      <c r="I49" s="140" t="s">
        <v>1802</v>
      </c>
      <c r="J49" s="140" t="s">
        <v>1803</v>
      </c>
      <c r="K49" s="140" t="s">
        <v>1876</v>
      </c>
    </row>
    <row r="50" spans="1:11" x14ac:dyDescent="0.25">
      <c r="A50" s="140" t="s">
        <v>1873</v>
      </c>
      <c r="B50" s="141">
        <v>1756</v>
      </c>
      <c r="C50" s="140" t="s">
        <v>1798</v>
      </c>
      <c r="D50" s="142">
        <v>693419.14</v>
      </c>
      <c r="E50" s="140" t="s">
        <v>1799</v>
      </c>
      <c r="F50" s="140" t="s">
        <v>1800</v>
      </c>
      <c r="G50" s="140" t="s">
        <v>1801</v>
      </c>
      <c r="H50" s="140"/>
      <c r="I50" s="140" t="s">
        <v>1802</v>
      </c>
      <c r="J50" s="140" t="s">
        <v>1803</v>
      </c>
      <c r="K50" s="140" t="s">
        <v>1877</v>
      </c>
    </row>
    <row r="51" spans="1:11" x14ac:dyDescent="0.25">
      <c r="A51" s="140" t="s">
        <v>1873</v>
      </c>
      <c r="B51" s="141">
        <v>1757</v>
      </c>
      <c r="C51" s="140" t="s">
        <v>1798</v>
      </c>
      <c r="D51" s="142">
        <v>704611.29</v>
      </c>
      <c r="E51" s="140" t="s">
        <v>1799</v>
      </c>
      <c r="F51" s="140" t="s">
        <v>1800</v>
      </c>
      <c r="G51" s="140" t="s">
        <v>1801</v>
      </c>
      <c r="H51" s="140"/>
      <c r="I51" s="140" t="s">
        <v>1802</v>
      </c>
      <c r="J51" s="140" t="s">
        <v>1803</v>
      </c>
      <c r="K51" s="140" t="s">
        <v>1878</v>
      </c>
    </row>
    <row r="52" spans="1:11" x14ac:dyDescent="0.25">
      <c r="A52" s="140" t="s">
        <v>1879</v>
      </c>
      <c r="B52" s="141">
        <v>1891</v>
      </c>
      <c r="C52" s="140" t="s">
        <v>1798</v>
      </c>
      <c r="D52" s="142">
        <v>1982893.39</v>
      </c>
      <c r="E52" s="140" t="s">
        <v>1812</v>
      </c>
      <c r="F52" s="140" t="s">
        <v>1800</v>
      </c>
      <c r="G52" s="140" t="s">
        <v>1801</v>
      </c>
      <c r="H52" s="140"/>
      <c r="I52" s="140" t="s">
        <v>1802</v>
      </c>
      <c r="J52" s="140" t="s">
        <v>1803</v>
      </c>
      <c r="K52" s="140" t="s">
        <v>1880</v>
      </c>
    </row>
    <row r="53" spans="1:11" x14ac:dyDescent="0.25">
      <c r="A53" s="140" t="s">
        <v>1881</v>
      </c>
      <c r="B53" s="141">
        <v>1897</v>
      </c>
      <c r="C53" s="140" t="s">
        <v>1798</v>
      </c>
      <c r="D53" s="142">
        <v>500000</v>
      </c>
      <c r="E53" s="140" t="s">
        <v>1799</v>
      </c>
      <c r="F53" s="140" t="s">
        <v>1800</v>
      </c>
      <c r="G53" s="140" t="s">
        <v>1801</v>
      </c>
      <c r="H53" s="140"/>
      <c r="I53" s="140" t="s">
        <v>1802</v>
      </c>
      <c r="J53" s="140" t="s">
        <v>1803</v>
      </c>
      <c r="K53" s="140" t="s">
        <v>1882</v>
      </c>
    </row>
    <row r="54" spans="1:11" x14ac:dyDescent="0.25">
      <c r="A54" s="140" t="s">
        <v>1883</v>
      </c>
      <c r="B54" s="141">
        <v>1925</v>
      </c>
      <c r="C54" s="140" t="s">
        <v>1798</v>
      </c>
      <c r="D54" s="142">
        <v>1527427.38</v>
      </c>
      <c r="E54" s="140" t="s">
        <v>1799</v>
      </c>
      <c r="F54" s="140" t="s">
        <v>1800</v>
      </c>
      <c r="G54" s="140" t="s">
        <v>1801</v>
      </c>
      <c r="H54" s="140"/>
      <c r="I54" s="140" t="s">
        <v>1802</v>
      </c>
      <c r="J54" s="140" t="s">
        <v>1803</v>
      </c>
      <c r="K54" s="140" t="s">
        <v>1884</v>
      </c>
    </row>
    <row r="55" spans="1:11" x14ac:dyDescent="0.25">
      <c r="A55" s="140" t="s">
        <v>1885</v>
      </c>
      <c r="B55" s="141">
        <v>1992</v>
      </c>
      <c r="C55" s="140" t="s">
        <v>1798</v>
      </c>
      <c r="D55" s="142">
        <v>1151453.1100000001</v>
      </c>
      <c r="E55" s="140" t="s">
        <v>1799</v>
      </c>
      <c r="F55" s="140" t="s">
        <v>1800</v>
      </c>
      <c r="G55" s="140" t="s">
        <v>1801</v>
      </c>
      <c r="H55" s="140"/>
      <c r="I55" s="140" t="s">
        <v>1802</v>
      </c>
      <c r="J55" s="140" t="s">
        <v>1803</v>
      </c>
      <c r="K55" s="140" t="s">
        <v>1886</v>
      </c>
    </row>
    <row r="56" spans="1:11" x14ac:dyDescent="0.25">
      <c r="A56" s="140" t="s">
        <v>1885</v>
      </c>
      <c r="B56" s="141">
        <v>1993</v>
      </c>
      <c r="C56" s="140" t="s">
        <v>1798</v>
      </c>
      <c r="D56" s="142">
        <v>395996.38</v>
      </c>
      <c r="E56" s="140" t="s">
        <v>1799</v>
      </c>
      <c r="F56" s="140" t="s">
        <v>1800</v>
      </c>
      <c r="G56" s="140" t="s">
        <v>1801</v>
      </c>
      <c r="H56" s="140"/>
      <c r="I56" s="140" t="s">
        <v>1802</v>
      </c>
      <c r="J56" s="140" t="s">
        <v>1803</v>
      </c>
      <c r="K56" s="140" t="s">
        <v>1887</v>
      </c>
    </row>
    <row r="57" spans="1:11" x14ac:dyDescent="0.25">
      <c r="A57" s="140" t="s">
        <v>1888</v>
      </c>
      <c r="B57" s="141">
        <v>2018</v>
      </c>
      <c r="C57" s="140" t="s">
        <v>1798</v>
      </c>
      <c r="D57" s="142">
        <v>854463.04</v>
      </c>
      <c r="E57" s="140" t="s">
        <v>1799</v>
      </c>
      <c r="F57" s="140" t="s">
        <v>1800</v>
      </c>
      <c r="G57" s="140" t="s">
        <v>1801</v>
      </c>
      <c r="H57" s="140"/>
      <c r="I57" s="140" t="s">
        <v>1802</v>
      </c>
      <c r="J57" s="140" t="s">
        <v>1803</v>
      </c>
      <c r="K57" s="140" t="s">
        <v>1889</v>
      </c>
    </row>
    <row r="58" spans="1:11" x14ac:dyDescent="0.25">
      <c r="A58" s="140" t="s">
        <v>1890</v>
      </c>
      <c r="B58" s="141">
        <v>2106</v>
      </c>
      <c r="C58" s="140" t="s">
        <v>1798</v>
      </c>
      <c r="D58" s="142">
        <v>729141.71</v>
      </c>
      <c r="E58" s="140" t="s">
        <v>1799</v>
      </c>
      <c r="F58" s="140" t="s">
        <v>1800</v>
      </c>
      <c r="G58" s="140" t="s">
        <v>1801</v>
      </c>
      <c r="H58" s="140"/>
      <c r="I58" s="140" t="s">
        <v>1802</v>
      </c>
      <c r="J58" s="140" t="s">
        <v>1803</v>
      </c>
      <c r="K58" s="140" t="s">
        <v>1891</v>
      </c>
    </row>
    <row r="59" spans="1:11" x14ac:dyDescent="0.25">
      <c r="A59" s="140" t="s">
        <v>1892</v>
      </c>
      <c r="B59" s="141">
        <v>2165</v>
      </c>
      <c r="C59" s="140" t="s">
        <v>1798</v>
      </c>
      <c r="D59" s="142">
        <v>989686.14</v>
      </c>
      <c r="E59" s="140" t="s">
        <v>1799</v>
      </c>
      <c r="F59" s="140" t="s">
        <v>1800</v>
      </c>
      <c r="G59" s="140" t="s">
        <v>1801</v>
      </c>
      <c r="H59" s="140"/>
      <c r="I59" s="140" t="s">
        <v>1802</v>
      </c>
      <c r="J59" s="140" t="s">
        <v>1803</v>
      </c>
      <c r="K59" s="140" t="s">
        <v>1893</v>
      </c>
    </row>
    <row r="60" spans="1:11" x14ac:dyDescent="0.25">
      <c r="A60" s="140" t="s">
        <v>1894</v>
      </c>
      <c r="B60" s="141">
        <v>2235</v>
      </c>
      <c r="C60" s="140" t="s">
        <v>1798</v>
      </c>
      <c r="D60" s="142">
        <v>1480069.66</v>
      </c>
      <c r="E60" s="140" t="s">
        <v>1799</v>
      </c>
      <c r="F60" s="140" t="s">
        <v>1800</v>
      </c>
      <c r="G60" s="140" t="s">
        <v>1801</v>
      </c>
      <c r="H60" s="140"/>
      <c r="I60" s="140" t="s">
        <v>1802</v>
      </c>
      <c r="J60" s="140" t="s">
        <v>1803</v>
      </c>
      <c r="K60" s="140" t="s">
        <v>1895</v>
      </c>
    </row>
    <row r="61" spans="1:11" x14ac:dyDescent="0.25">
      <c r="A61" s="140" t="s">
        <v>1894</v>
      </c>
      <c r="B61" s="141">
        <v>2236</v>
      </c>
      <c r="C61" s="140" t="s">
        <v>1798</v>
      </c>
      <c r="D61" s="142">
        <v>360985.33</v>
      </c>
      <c r="E61" s="140" t="s">
        <v>1799</v>
      </c>
      <c r="F61" s="140" t="s">
        <v>1800</v>
      </c>
      <c r="G61" s="140" t="s">
        <v>1801</v>
      </c>
      <c r="H61" s="140"/>
      <c r="I61" s="140" t="s">
        <v>1802</v>
      </c>
      <c r="J61" s="140" t="s">
        <v>1803</v>
      </c>
      <c r="K61" s="140" t="s">
        <v>1896</v>
      </c>
    </row>
    <row r="62" spans="1:11" x14ac:dyDescent="0.25">
      <c r="A62" s="140" t="s">
        <v>1897</v>
      </c>
      <c r="B62" s="141">
        <v>2287</v>
      </c>
      <c r="C62" s="140" t="s">
        <v>1798</v>
      </c>
      <c r="D62" s="142">
        <v>1002095.59</v>
      </c>
      <c r="E62" s="140" t="s">
        <v>1799</v>
      </c>
      <c r="F62" s="140" t="s">
        <v>1800</v>
      </c>
      <c r="G62" s="140" t="s">
        <v>1801</v>
      </c>
      <c r="H62" s="140"/>
      <c r="I62" s="140" t="s">
        <v>1802</v>
      </c>
      <c r="J62" s="140" t="s">
        <v>1803</v>
      </c>
      <c r="K62" s="140" t="s">
        <v>1898</v>
      </c>
    </row>
    <row r="63" spans="1:11" x14ac:dyDescent="0.25">
      <c r="A63" s="140" t="s">
        <v>1899</v>
      </c>
      <c r="B63" s="141">
        <v>2310</v>
      </c>
      <c r="C63" s="140" t="s">
        <v>1798</v>
      </c>
      <c r="D63" s="142">
        <v>2156092.89</v>
      </c>
      <c r="E63" s="140" t="s">
        <v>1799</v>
      </c>
      <c r="F63" s="140" t="s">
        <v>1800</v>
      </c>
      <c r="G63" s="140" t="s">
        <v>1801</v>
      </c>
      <c r="H63" s="140"/>
      <c r="I63" s="140" t="s">
        <v>1802</v>
      </c>
      <c r="J63" s="140" t="s">
        <v>1803</v>
      </c>
      <c r="K63" s="140" t="s">
        <v>1900</v>
      </c>
    </row>
    <row r="64" spans="1:11" x14ac:dyDescent="0.25">
      <c r="A64" s="140" t="s">
        <v>1901</v>
      </c>
      <c r="B64" s="141">
        <v>2345</v>
      </c>
      <c r="C64" s="140" t="s">
        <v>1798</v>
      </c>
      <c r="D64" s="142">
        <v>600897.36</v>
      </c>
      <c r="E64" s="140" t="s">
        <v>1812</v>
      </c>
      <c r="F64" s="140" t="s">
        <v>1800</v>
      </c>
      <c r="G64" s="140" t="s">
        <v>1801</v>
      </c>
      <c r="H64" s="140"/>
      <c r="I64" s="140" t="s">
        <v>1802</v>
      </c>
      <c r="J64" s="140" t="s">
        <v>1803</v>
      </c>
      <c r="K64" s="140" t="s">
        <v>1902</v>
      </c>
    </row>
    <row r="65" spans="1:11" x14ac:dyDescent="0.25">
      <c r="A65" s="140" t="s">
        <v>1901</v>
      </c>
      <c r="B65" s="141">
        <v>2346</v>
      </c>
      <c r="C65" s="140" t="s">
        <v>1798</v>
      </c>
      <c r="D65" s="142">
        <v>1170602.8400000001</v>
      </c>
      <c r="E65" s="140" t="s">
        <v>1799</v>
      </c>
      <c r="F65" s="140" t="s">
        <v>1800</v>
      </c>
      <c r="G65" s="140" t="s">
        <v>1801</v>
      </c>
      <c r="H65" s="140"/>
      <c r="I65" s="140" t="s">
        <v>1802</v>
      </c>
      <c r="J65" s="140" t="s">
        <v>1803</v>
      </c>
      <c r="K65" s="140" t="s">
        <v>1903</v>
      </c>
    </row>
    <row r="66" spans="1:11" x14ac:dyDescent="0.25">
      <c r="A66" s="140" t="s">
        <v>1904</v>
      </c>
      <c r="B66" s="141">
        <v>2388</v>
      </c>
      <c r="C66" s="140" t="s">
        <v>1798</v>
      </c>
      <c r="D66" s="142">
        <v>556367.35</v>
      </c>
      <c r="E66" s="140" t="s">
        <v>1812</v>
      </c>
      <c r="F66" s="140" t="s">
        <v>1800</v>
      </c>
      <c r="G66" s="140" t="s">
        <v>1801</v>
      </c>
      <c r="H66" s="140"/>
      <c r="I66" s="140" t="s">
        <v>1802</v>
      </c>
      <c r="J66" s="140" t="s">
        <v>1803</v>
      </c>
      <c r="K66" s="140" t="s">
        <v>1905</v>
      </c>
    </row>
    <row r="67" spans="1:11" x14ac:dyDescent="0.25">
      <c r="A67" s="140" t="s">
        <v>1904</v>
      </c>
      <c r="B67" s="141">
        <v>2416</v>
      </c>
      <c r="C67" s="140" t="s">
        <v>1798</v>
      </c>
      <c r="D67" s="142">
        <v>2600000</v>
      </c>
      <c r="E67" s="140" t="s">
        <v>1799</v>
      </c>
      <c r="F67" s="140" t="s">
        <v>1800</v>
      </c>
      <c r="G67" s="140" t="s">
        <v>1801</v>
      </c>
      <c r="H67" s="140"/>
      <c r="I67" s="140" t="s">
        <v>1802</v>
      </c>
      <c r="J67" s="140" t="s">
        <v>1803</v>
      </c>
      <c r="K67" s="140" t="s">
        <v>1906</v>
      </c>
    </row>
    <row r="68" spans="1:11" x14ac:dyDescent="0.25">
      <c r="A68" s="140" t="s">
        <v>1907</v>
      </c>
      <c r="B68" s="141">
        <v>2420</v>
      </c>
      <c r="C68" s="140" t="s">
        <v>1798</v>
      </c>
      <c r="D68" s="142">
        <v>2877221.26</v>
      </c>
      <c r="E68" s="140" t="s">
        <v>1799</v>
      </c>
      <c r="F68" s="140" t="s">
        <v>1800</v>
      </c>
      <c r="G68" s="140" t="s">
        <v>1801</v>
      </c>
      <c r="H68" s="140"/>
      <c r="I68" s="140" t="s">
        <v>1802</v>
      </c>
      <c r="J68" s="140" t="s">
        <v>1803</v>
      </c>
      <c r="K68" s="140" t="s">
        <v>1908</v>
      </c>
    </row>
    <row r="69" spans="1:11" x14ac:dyDescent="0.25">
      <c r="A69" s="140" t="s">
        <v>1909</v>
      </c>
      <c r="B69" s="141">
        <v>2435</v>
      </c>
      <c r="C69" s="140" t="s">
        <v>1798</v>
      </c>
      <c r="D69" s="142">
        <v>652096.64</v>
      </c>
      <c r="E69" s="140" t="s">
        <v>1799</v>
      </c>
      <c r="F69" s="140" t="s">
        <v>1800</v>
      </c>
      <c r="G69" s="140" t="s">
        <v>1801</v>
      </c>
      <c r="H69" s="140"/>
      <c r="I69" s="140" t="s">
        <v>1802</v>
      </c>
      <c r="J69" s="140" t="s">
        <v>1803</v>
      </c>
      <c r="K69" s="140" t="s">
        <v>1910</v>
      </c>
    </row>
    <row r="70" spans="1:11" x14ac:dyDescent="0.25">
      <c r="A70" s="140" t="s">
        <v>1909</v>
      </c>
      <c r="B70" s="141">
        <v>2436</v>
      </c>
      <c r="C70" s="140" t="s">
        <v>1798</v>
      </c>
      <c r="D70" s="142">
        <v>823013.48</v>
      </c>
      <c r="E70" s="140" t="s">
        <v>1799</v>
      </c>
      <c r="F70" s="140" t="s">
        <v>1800</v>
      </c>
      <c r="G70" s="140" t="s">
        <v>1801</v>
      </c>
      <c r="H70" s="140"/>
      <c r="I70" s="140" t="s">
        <v>1802</v>
      </c>
      <c r="J70" s="140" t="s">
        <v>1803</v>
      </c>
      <c r="K70" s="140" t="s">
        <v>1911</v>
      </c>
    </row>
    <row r="71" spans="1:11" x14ac:dyDescent="0.25">
      <c r="A71" s="140" t="s">
        <v>1912</v>
      </c>
      <c r="B71" s="141">
        <v>2449</v>
      </c>
      <c r="C71" s="140" t="s">
        <v>1798</v>
      </c>
      <c r="D71" s="142">
        <v>1000000</v>
      </c>
      <c r="E71" s="140" t="s">
        <v>1812</v>
      </c>
      <c r="F71" s="140" t="s">
        <v>1800</v>
      </c>
      <c r="G71" s="140" t="s">
        <v>1801</v>
      </c>
      <c r="H71" s="140"/>
      <c r="I71" s="140" t="s">
        <v>1802</v>
      </c>
      <c r="J71" s="140" t="s">
        <v>1803</v>
      </c>
      <c r="K71" s="140" t="s">
        <v>1913</v>
      </c>
    </row>
    <row r="72" spans="1:11" x14ac:dyDescent="0.25">
      <c r="A72" s="140" t="s">
        <v>1912</v>
      </c>
      <c r="B72" s="141">
        <v>2452</v>
      </c>
      <c r="C72" s="140" t="s">
        <v>1798</v>
      </c>
      <c r="D72" s="142">
        <v>1065473.01</v>
      </c>
      <c r="E72" s="140" t="s">
        <v>1799</v>
      </c>
      <c r="F72" s="140" t="s">
        <v>1800</v>
      </c>
      <c r="G72" s="140" t="s">
        <v>1801</v>
      </c>
      <c r="H72" s="140"/>
      <c r="I72" s="140" t="s">
        <v>1802</v>
      </c>
      <c r="J72" s="140" t="s">
        <v>1803</v>
      </c>
      <c r="K72" s="140" t="s">
        <v>1914</v>
      </c>
    </row>
    <row r="73" spans="1:11" x14ac:dyDescent="0.25">
      <c r="A73" s="140" t="s">
        <v>1915</v>
      </c>
      <c r="B73" s="141">
        <v>2459</v>
      </c>
      <c r="C73" s="140" t="s">
        <v>1798</v>
      </c>
      <c r="D73" s="142">
        <v>500000</v>
      </c>
      <c r="E73" s="140" t="s">
        <v>1812</v>
      </c>
      <c r="F73" s="140" t="s">
        <v>1800</v>
      </c>
      <c r="G73" s="140" t="s">
        <v>1801</v>
      </c>
      <c r="H73" s="140"/>
      <c r="I73" s="140" t="s">
        <v>1802</v>
      </c>
      <c r="J73" s="140" t="s">
        <v>1803</v>
      </c>
      <c r="K73" s="140" t="s">
        <v>1916</v>
      </c>
    </row>
    <row r="74" spans="1:11" x14ac:dyDescent="0.25">
      <c r="A74" s="140" t="s">
        <v>1915</v>
      </c>
      <c r="B74" s="141">
        <v>2460</v>
      </c>
      <c r="C74" s="140" t="s">
        <v>1798</v>
      </c>
      <c r="D74" s="142">
        <v>1500000</v>
      </c>
      <c r="E74" s="140" t="s">
        <v>1799</v>
      </c>
      <c r="F74" s="140" t="s">
        <v>1800</v>
      </c>
      <c r="G74" s="140" t="s">
        <v>1801</v>
      </c>
      <c r="H74" s="140"/>
      <c r="I74" s="140" t="s">
        <v>1802</v>
      </c>
      <c r="J74" s="140" t="s">
        <v>1803</v>
      </c>
      <c r="K74" s="140" t="s">
        <v>1917</v>
      </c>
    </row>
    <row r="75" spans="1:11" x14ac:dyDescent="0.25">
      <c r="A75" s="140" t="s">
        <v>1918</v>
      </c>
      <c r="B75" s="141">
        <v>2470</v>
      </c>
      <c r="C75" s="140" t="s">
        <v>1798</v>
      </c>
      <c r="D75" s="142">
        <v>172815.33</v>
      </c>
      <c r="E75" s="140" t="s">
        <v>1799</v>
      </c>
      <c r="F75" s="140" t="s">
        <v>1800</v>
      </c>
      <c r="G75" s="140" t="s">
        <v>1801</v>
      </c>
      <c r="H75" s="140"/>
      <c r="I75" s="140" t="s">
        <v>1802</v>
      </c>
      <c r="J75" s="140" t="s">
        <v>1803</v>
      </c>
      <c r="K75" s="140" t="s">
        <v>1919</v>
      </c>
    </row>
    <row r="76" spans="1:11" x14ac:dyDescent="0.25">
      <c r="A76" s="140" t="s">
        <v>1918</v>
      </c>
      <c r="B76" s="141">
        <v>2510</v>
      </c>
      <c r="C76" s="140" t="s">
        <v>1798</v>
      </c>
      <c r="D76" s="142">
        <v>199188.44</v>
      </c>
      <c r="E76" s="140" t="s">
        <v>1812</v>
      </c>
      <c r="F76" s="140" t="s">
        <v>1800</v>
      </c>
      <c r="G76" s="140" t="s">
        <v>1801</v>
      </c>
      <c r="H76" s="140"/>
      <c r="I76" s="140" t="s">
        <v>1802</v>
      </c>
      <c r="J76" s="140" t="s">
        <v>1803</v>
      </c>
      <c r="K76" s="140" t="s">
        <v>1920</v>
      </c>
    </row>
    <row r="77" spans="1:11" x14ac:dyDescent="0.25">
      <c r="A77" s="140" t="s">
        <v>1921</v>
      </c>
      <c r="B77" s="141">
        <v>2533</v>
      </c>
      <c r="C77" s="140" t="s">
        <v>1798</v>
      </c>
      <c r="D77" s="142">
        <v>732273.45</v>
      </c>
      <c r="E77" s="140" t="s">
        <v>1799</v>
      </c>
      <c r="F77" s="140" t="s">
        <v>1800</v>
      </c>
      <c r="G77" s="140" t="s">
        <v>1801</v>
      </c>
      <c r="H77" s="140"/>
      <c r="I77" s="140" t="s">
        <v>1802</v>
      </c>
      <c r="J77" s="140" t="s">
        <v>1803</v>
      </c>
      <c r="K77" s="140" t="s">
        <v>1922</v>
      </c>
    </row>
    <row r="78" spans="1:11" x14ac:dyDescent="0.25">
      <c r="A78" s="140" t="s">
        <v>1923</v>
      </c>
      <c r="B78" s="141">
        <v>2542</v>
      </c>
      <c r="C78" s="140" t="s">
        <v>1798</v>
      </c>
      <c r="D78" s="142">
        <v>607291.27</v>
      </c>
      <c r="E78" s="140" t="s">
        <v>1799</v>
      </c>
      <c r="F78" s="140" t="s">
        <v>1800</v>
      </c>
      <c r="G78" s="140" t="s">
        <v>1801</v>
      </c>
      <c r="H78" s="140"/>
      <c r="I78" s="140" t="s">
        <v>1802</v>
      </c>
      <c r="J78" s="140" t="s">
        <v>1803</v>
      </c>
      <c r="K78" s="140" t="s">
        <v>1924</v>
      </c>
    </row>
    <row r="79" spans="1:11" x14ac:dyDescent="0.25">
      <c r="A79" s="140" t="s">
        <v>1923</v>
      </c>
      <c r="B79" s="141">
        <v>2544</v>
      </c>
      <c r="C79" s="140" t="s">
        <v>1798</v>
      </c>
      <c r="D79" s="142">
        <v>434007.01</v>
      </c>
      <c r="E79" s="140" t="s">
        <v>1799</v>
      </c>
      <c r="F79" s="140" t="s">
        <v>1800</v>
      </c>
      <c r="G79" s="140" t="s">
        <v>1801</v>
      </c>
      <c r="H79" s="140"/>
      <c r="I79" s="140" t="s">
        <v>1802</v>
      </c>
      <c r="J79" s="140" t="s">
        <v>1803</v>
      </c>
      <c r="K79" s="140" t="s">
        <v>1925</v>
      </c>
    </row>
    <row r="80" spans="1:11" x14ac:dyDescent="0.25">
      <c r="A80" s="140" t="s">
        <v>1926</v>
      </c>
      <c r="B80" s="141">
        <v>2560</v>
      </c>
      <c r="C80" s="140" t="s">
        <v>1798</v>
      </c>
      <c r="D80" s="142">
        <v>387622.01</v>
      </c>
      <c r="E80" s="140" t="s">
        <v>1812</v>
      </c>
      <c r="F80" s="140" t="s">
        <v>1800</v>
      </c>
      <c r="G80" s="140" t="s">
        <v>1801</v>
      </c>
      <c r="H80" s="140"/>
      <c r="I80" s="140" t="s">
        <v>1802</v>
      </c>
      <c r="J80" s="140" t="s">
        <v>1803</v>
      </c>
      <c r="K80" s="140" t="s">
        <v>1927</v>
      </c>
    </row>
    <row r="81" spans="1:11" x14ac:dyDescent="0.25">
      <c r="A81" s="140" t="s">
        <v>1928</v>
      </c>
      <c r="B81" s="141">
        <v>2590</v>
      </c>
      <c r="C81" s="140" t="s">
        <v>1798</v>
      </c>
      <c r="D81" s="142">
        <v>387622.01</v>
      </c>
      <c r="E81" s="140" t="s">
        <v>1812</v>
      </c>
      <c r="F81" s="140" t="s">
        <v>1800</v>
      </c>
      <c r="G81" s="140" t="s">
        <v>1801</v>
      </c>
      <c r="H81" s="140"/>
      <c r="I81" s="140" t="s">
        <v>1802</v>
      </c>
      <c r="J81" s="140"/>
      <c r="K81" s="140" t="s">
        <v>1929</v>
      </c>
    </row>
    <row r="82" spans="1:11" x14ac:dyDescent="0.25">
      <c r="A82" s="140" t="s">
        <v>1930</v>
      </c>
      <c r="B82" s="141">
        <v>2631</v>
      </c>
      <c r="C82" s="140" t="s">
        <v>1798</v>
      </c>
      <c r="D82" s="142">
        <v>698310.39</v>
      </c>
      <c r="E82" s="140" t="s">
        <v>1799</v>
      </c>
      <c r="F82" s="140" t="s">
        <v>1800</v>
      </c>
      <c r="G82" s="140" t="s">
        <v>1801</v>
      </c>
      <c r="H82" s="140"/>
      <c r="I82" s="140" t="s">
        <v>1802</v>
      </c>
      <c r="J82" s="140" t="s">
        <v>1803</v>
      </c>
      <c r="K82" s="140" t="s">
        <v>1931</v>
      </c>
    </row>
    <row r="83" spans="1:11" x14ac:dyDescent="0.25">
      <c r="A83" s="140" t="s">
        <v>1932</v>
      </c>
      <c r="B83" s="141">
        <v>2664</v>
      </c>
      <c r="C83" s="140" t="s">
        <v>1798</v>
      </c>
      <c r="D83" s="142">
        <v>741348.14</v>
      </c>
      <c r="E83" s="140" t="s">
        <v>1799</v>
      </c>
      <c r="F83" s="140" t="s">
        <v>1800</v>
      </c>
      <c r="G83" s="140" t="s">
        <v>1801</v>
      </c>
      <c r="H83" s="140"/>
      <c r="I83" s="140" t="s">
        <v>1802</v>
      </c>
      <c r="J83" s="140" t="s">
        <v>1803</v>
      </c>
      <c r="K83" s="140" t="s">
        <v>1933</v>
      </c>
    </row>
    <row r="84" spans="1:11" x14ac:dyDescent="0.25">
      <c r="A84" s="140" t="s">
        <v>1934</v>
      </c>
      <c r="B84" s="141">
        <v>2762</v>
      </c>
      <c r="C84" s="140" t="s">
        <v>1798</v>
      </c>
      <c r="D84" s="142">
        <v>772858.88</v>
      </c>
      <c r="E84" s="140" t="s">
        <v>1799</v>
      </c>
      <c r="F84" s="140" t="s">
        <v>1800</v>
      </c>
      <c r="G84" s="140" t="s">
        <v>1801</v>
      </c>
      <c r="H84" s="140"/>
      <c r="I84" s="140" t="s">
        <v>1802</v>
      </c>
      <c r="J84" s="140" t="s">
        <v>1803</v>
      </c>
      <c r="K84" s="140" t="s">
        <v>1935</v>
      </c>
    </row>
    <row r="85" spans="1:11" x14ac:dyDescent="0.25">
      <c r="A85" s="140" t="s">
        <v>1936</v>
      </c>
      <c r="B85" s="141">
        <v>2767</v>
      </c>
      <c r="C85" s="140" t="s">
        <v>1798</v>
      </c>
      <c r="D85" s="142">
        <v>2189793.04</v>
      </c>
      <c r="E85" s="140" t="s">
        <v>1799</v>
      </c>
      <c r="F85" s="140" t="s">
        <v>1800</v>
      </c>
      <c r="G85" s="140" t="s">
        <v>1801</v>
      </c>
      <c r="H85" s="140"/>
      <c r="I85" s="140" t="s">
        <v>1802</v>
      </c>
      <c r="J85" s="140" t="s">
        <v>1803</v>
      </c>
      <c r="K85" s="140" t="s">
        <v>1937</v>
      </c>
    </row>
    <row r="86" spans="1:11" x14ac:dyDescent="0.25">
      <c r="A86" s="140" t="s">
        <v>1938</v>
      </c>
      <c r="B86" s="141">
        <v>2848</v>
      </c>
      <c r="C86" s="140" t="s">
        <v>1798</v>
      </c>
      <c r="D86" s="142">
        <v>1186308.92</v>
      </c>
      <c r="E86" s="140" t="s">
        <v>1799</v>
      </c>
      <c r="F86" s="140" t="s">
        <v>1800</v>
      </c>
      <c r="G86" s="140" t="s">
        <v>1801</v>
      </c>
      <c r="H86" s="140"/>
      <c r="I86" s="140" t="s">
        <v>1802</v>
      </c>
      <c r="J86" s="140" t="s">
        <v>1803</v>
      </c>
      <c r="K86" s="140" t="s">
        <v>1939</v>
      </c>
    </row>
    <row r="87" spans="1:11" x14ac:dyDescent="0.25">
      <c r="A87" s="140" t="s">
        <v>1938</v>
      </c>
      <c r="B87" s="141">
        <v>2849</v>
      </c>
      <c r="C87" s="140" t="s">
        <v>1798</v>
      </c>
      <c r="D87" s="142">
        <v>1480267.3</v>
      </c>
      <c r="E87" s="140" t="s">
        <v>1799</v>
      </c>
      <c r="F87" s="140" t="s">
        <v>1800</v>
      </c>
      <c r="G87" s="140" t="s">
        <v>1801</v>
      </c>
      <c r="H87" s="140"/>
      <c r="I87" s="140" t="s">
        <v>1802</v>
      </c>
      <c r="J87" s="140" t="s">
        <v>1803</v>
      </c>
      <c r="K87" s="140" t="s">
        <v>1940</v>
      </c>
    </row>
    <row r="88" spans="1:11" x14ac:dyDescent="0.25">
      <c r="A88" s="140" t="s">
        <v>1941</v>
      </c>
      <c r="B88" s="141">
        <v>2909</v>
      </c>
      <c r="C88" s="140" t="s">
        <v>1798</v>
      </c>
      <c r="D88" s="142">
        <v>2075369.09</v>
      </c>
      <c r="E88" s="140" t="s">
        <v>1799</v>
      </c>
      <c r="F88" s="140" t="s">
        <v>1800</v>
      </c>
      <c r="G88" s="140" t="s">
        <v>1801</v>
      </c>
      <c r="H88" s="140"/>
      <c r="I88" s="140" t="s">
        <v>1802</v>
      </c>
      <c r="J88" s="140" t="s">
        <v>1803</v>
      </c>
      <c r="K88" s="140" t="s">
        <v>1942</v>
      </c>
    </row>
    <row r="89" spans="1:11" x14ac:dyDescent="0.25">
      <c r="A89" s="140" t="s">
        <v>1943</v>
      </c>
      <c r="B89" s="141">
        <v>2913</v>
      </c>
      <c r="C89" s="140" t="s">
        <v>1798</v>
      </c>
      <c r="D89" s="142">
        <v>1277292.19</v>
      </c>
      <c r="E89" s="140" t="s">
        <v>1799</v>
      </c>
      <c r="F89" s="140" t="s">
        <v>1800</v>
      </c>
      <c r="G89" s="140" t="s">
        <v>1801</v>
      </c>
      <c r="H89" s="140"/>
      <c r="I89" s="140" t="s">
        <v>1802</v>
      </c>
      <c r="J89" s="140" t="s">
        <v>1803</v>
      </c>
      <c r="K89" s="140" t="s">
        <v>1944</v>
      </c>
    </row>
    <row r="90" spans="1:11" x14ac:dyDescent="0.25">
      <c r="A90" s="140" t="s">
        <v>1945</v>
      </c>
      <c r="B90" s="141">
        <v>2933</v>
      </c>
      <c r="C90" s="140" t="s">
        <v>1798</v>
      </c>
      <c r="D90" s="142">
        <v>1040343.98</v>
      </c>
      <c r="E90" s="140" t="s">
        <v>1799</v>
      </c>
      <c r="F90" s="140" t="s">
        <v>1800</v>
      </c>
      <c r="G90" s="140" t="s">
        <v>1801</v>
      </c>
      <c r="H90" s="140"/>
      <c r="I90" s="140" t="s">
        <v>1802</v>
      </c>
      <c r="J90" s="140" t="s">
        <v>1803</v>
      </c>
      <c r="K90" s="140" t="s">
        <v>1946</v>
      </c>
    </row>
    <row r="91" spans="1:11" x14ac:dyDescent="0.25">
      <c r="A91" s="140" t="s">
        <v>1947</v>
      </c>
      <c r="B91" s="141">
        <v>2962</v>
      </c>
      <c r="C91" s="140" t="s">
        <v>1798</v>
      </c>
      <c r="D91" s="142">
        <v>656698.21</v>
      </c>
      <c r="E91" s="140" t="s">
        <v>1799</v>
      </c>
      <c r="F91" s="140" t="s">
        <v>1800</v>
      </c>
      <c r="G91" s="140" t="s">
        <v>1801</v>
      </c>
      <c r="H91" s="140"/>
      <c r="I91" s="140" t="s">
        <v>1802</v>
      </c>
      <c r="J91" s="140" t="s">
        <v>1803</v>
      </c>
      <c r="K91" s="140" t="s">
        <v>1948</v>
      </c>
    </row>
    <row r="92" spans="1:11" x14ac:dyDescent="0.25">
      <c r="A92" s="140" t="s">
        <v>1949</v>
      </c>
      <c r="B92" s="141">
        <v>2971</v>
      </c>
      <c r="C92" s="140" t="s">
        <v>1798</v>
      </c>
      <c r="D92" s="142">
        <v>210000</v>
      </c>
      <c r="E92" s="140" t="s">
        <v>1799</v>
      </c>
      <c r="F92" s="140" t="s">
        <v>1800</v>
      </c>
      <c r="G92" s="140" t="s">
        <v>1801</v>
      </c>
      <c r="H92" s="140"/>
      <c r="I92" s="140" t="s">
        <v>1802</v>
      </c>
      <c r="J92" s="140" t="s">
        <v>1803</v>
      </c>
      <c r="K92" s="140" t="s">
        <v>1950</v>
      </c>
    </row>
    <row r="93" spans="1:11" x14ac:dyDescent="0.25">
      <c r="A93" s="140" t="s">
        <v>1951</v>
      </c>
      <c r="B93" s="141">
        <v>3070</v>
      </c>
      <c r="C93" s="140" t="s">
        <v>1798</v>
      </c>
      <c r="D93" s="142">
        <v>349035.2</v>
      </c>
      <c r="E93" s="140" t="s">
        <v>1799</v>
      </c>
      <c r="F93" s="140" t="s">
        <v>1800</v>
      </c>
      <c r="G93" s="140" t="s">
        <v>1801</v>
      </c>
      <c r="H93" s="140"/>
      <c r="I93" s="140" t="s">
        <v>1802</v>
      </c>
      <c r="J93" s="140" t="s">
        <v>1803</v>
      </c>
      <c r="K93" s="140" t="s">
        <v>1952</v>
      </c>
    </row>
    <row r="94" spans="1:11" x14ac:dyDescent="0.25">
      <c r="A94" s="140" t="s">
        <v>1951</v>
      </c>
      <c r="B94" s="141">
        <v>3071</v>
      </c>
      <c r="C94" s="140" t="s">
        <v>1798</v>
      </c>
      <c r="D94" s="142">
        <v>305000</v>
      </c>
      <c r="E94" s="140" t="s">
        <v>1799</v>
      </c>
      <c r="F94" s="140" t="s">
        <v>1800</v>
      </c>
      <c r="G94" s="140" t="s">
        <v>1801</v>
      </c>
      <c r="H94" s="140"/>
      <c r="I94" s="140" t="s">
        <v>1802</v>
      </c>
      <c r="J94" s="140" t="s">
        <v>1803</v>
      </c>
      <c r="K94" s="140" t="s">
        <v>1953</v>
      </c>
    </row>
    <row r="95" spans="1:11" x14ac:dyDescent="0.25">
      <c r="A95" s="140" t="s">
        <v>1951</v>
      </c>
      <c r="B95" s="141">
        <v>3076</v>
      </c>
      <c r="C95" s="140" t="s">
        <v>1798</v>
      </c>
      <c r="D95" s="142">
        <v>127000</v>
      </c>
      <c r="E95" s="140" t="s">
        <v>1812</v>
      </c>
      <c r="F95" s="140" t="s">
        <v>1800</v>
      </c>
      <c r="G95" s="140" t="s">
        <v>1801</v>
      </c>
      <c r="H95" s="140"/>
      <c r="I95" s="140" t="s">
        <v>1802</v>
      </c>
      <c r="J95" s="140" t="s">
        <v>1803</v>
      </c>
      <c r="K95" s="140" t="s">
        <v>1954</v>
      </c>
    </row>
    <row r="96" spans="1:11" x14ac:dyDescent="0.25">
      <c r="A96" s="140" t="s">
        <v>1955</v>
      </c>
      <c r="B96" s="141">
        <v>3081</v>
      </c>
      <c r="C96" s="140" t="s">
        <v>1798</v>
      </c>
      <c r="D96" s="142">
        <v>584949.32999999996</v>
      </c>
      <c r="E96" s="140" t="s">
        <v>1799</v>
      </c>
      <c r="F96" s="140" t="s">
        <v>1800</v>
      </c>
      <c r="G96" s="140" t="s">
        <v>1801</v>
      </c>
      <c r="H96" s="140"/>
      <c r="I96" s="140" t="s">
        <v>1802</v>
      </c>
      <c r="J96" s="140" t="s">
        <v>1803</v>
      </c>
      <c r="K96" s="140" t="s">
        <v>1956</v>
      </c>
    </row>
    <row r="97" spans="1:11" x14ac:dyDescent="0.25">
      <c r="A97" s="140" t="s">
        <v>1955</v>
      </c>
      <c r="B97" s="141">
        <v>3082</v>
      </c>
      <c r="C97" s="140" t="s">
        <v>1798</v>
      </c>
      <c r="D97" s="142">
        <v>158190.87</v>
      </c>
      <c r="E97" s="140" t="s">
        <v>1799</v>
      </c>
      <c r="F97" s="140" t="s">
        <v>1800</v>
      </c>
      <c r="G97" s="140" t="s">
        <v>1801</v>
      </c>
      <c r="H97" s="140"/>
      <c r="I97" s="140" t="s">
        <v>1802</v>
      </c>
      <c r="J97" s="140" t="s">
        <v>1803</v>
      </c>
      <c r="K97" s="140" t="s">
        <v>1957</v>
      </c>
    </row>
    <row r="98" spans="1:11" x14ac:dyDescent="0.25">
      <c r="A98" s="140" t="s">
        <v>1955</v>
      </c>
      <c r="B98" s="141">
        <v>3083</v>
      </c>
      <c r="C98" s="140" t="s">
        <v>1798</v>
      </c>
      <c r="D98" s="142">
        <v>674166.82</v>
      </c>
      <c r="E98" s="140" t="s">
        <v>1799</v>
      </c>
      <c r="F98" s="140" t="s">
        <v>1800</v>
      </c>
      <c r="G98" s="140" t="s">
        <v>1801</v>
      </c>
      <c r="H98" s="140"/>
      <c r="I98" s="140" t="s">
        <v>1802</v>
      </c>
      <c r="J98" s="140" t="s">
        <v>1803</v>
      </c>
      <c r="K98" s="140" t="s">
        <v>1958</v>
      </c>
    </row>
    <row r="99" spans="1:11" x14ac:dyDescent="0.25">
      <c r="A99" s="140" t="s">
        <v>1955</v>
      </c>
      <c r="B99" s="141">
        <v>3084</v>
      </c>
      <c r="C99" s="140" t="s">
        <v>1798</v>
      </c>
      <c r="D99" s="142">
        <v>389308.93</v>
      </c>
      <c r="E99" s="140" t="s">
        <v>1799</v>
      </c>
      <c r="F99" s="140" t="s">
        <v>1800</v>
      </c>
      <c r="G99" s="140" t="s">
        <v>1801</v>
      </c>
      <c r="H99" s="140"/>
      <c r="I99" s="140" t="s">
        <v>1802</v>
      </c>
      <c r="J99" s="140" t="s">
        <v>1803</v>
      </c>
      <c r="K99" s="140" t="s">
        <v>1959</v>
      </c>
    </row>
    <row r="100" spans="1:11" x14ac:dyDescent="0.25">
      <c r="A100" s="140" t="s">
        <v>1960</v>
      </c>
      <c r="B100" s="141">
        <v>3090</v>
      </c>
      <c r="C100" s="140" t="s">
        <v>1798</v>
      </c>
      <c r="D100" s="142">
        <v>1055203.79</v>
      </c>
      <c r="E100" s="140" t="s">
        <v>1799</v>
      </c>
      <c r="F100" s="140" t="s">
        <v>1800</v>
      </c>
      <c r="G100" s="140" t="s">
        <v>1801</v>
      </c>
      <c r="H100" s="140"/>
      <c r="I100" s="140" t="s">
        <v>1802</v>
      </c>
      <c r="J100" s="140" t="s">
        <v>1803</v>
      </c>
      <c r="K100" s="140" t="s">
        <v>1961</v>
      </c>
    </row>
    <row r="101" spans="1:11" x14ac:dyDescent="0.25">
      <c r="A101" s="140" t="s">
        <v>1962</v>
      </c>
      <c r="B101" s="141">
        <v>3136</v>
      </c>
      <c r="C101" s="140" t="s">
        <v>1798</v>
      </c>
      <c r="D101" s="142">
        <v>1012792.93</v>
      </c>
      <c r="E101" s="140" t="s">
        <v>1799</v>
      </c>
      <c r="F101" s="140" t="s">
        <v>1800</v>
      </c>
      <c r="G101" s="140" t="s">
        <v>1801</v>
      </c>
      <c r="H101" s="140"/>
      <c r="I101" s="140" t="s">
        <v>1802</v>
      </c>
      <c r="J101" s="140" t="s">
        <v>1803</v>
      </c>
      <c r="K101" s="140" t="s">
        <v>1963</v>
      </c>
    </row>
    <row r="102" spans="1:11" x14ac:dyDescent="0.25">
      <c r="A102" s="140" t="s">
        <v>1964</v>
      </c>
      <c r="B102" s="141">
        <v>3182</v>
      </c>
      <c r="C102" s="140" t="s">
        <v>1798</v>
      </c>
      <c r="D102" s="142">
        <v>470000</v>
      </c>
      <c r="E102" s="140" t="s">
        <v>1799</v>
      </c>
      <c r="F102" s="140" t="s">
        <v>1800</v>
      </c>
      <c r="G102" s="140" t="s">
        <v>1801</v>
      </c>
      <c r="H102" s="140"/>
      <c r="I102" s="140" t="s">
        <v>1802</v>
      </c>
      <c r="J102" s="140" t="s">
        <v>1803</v>
      </c>
      <c r="K102" s="140" t="s">
        <v>1965</v>
      </c>
    </row>
    <row r="103" spans="1:11" x14ac:dyDescent="0.25">
      <c r="A103" s="140" t="s">
        <v>1966</v>
      </c>
      <c r="B103" s="141">
        <v>3185</v>
      </c>
      <c r="C103" s="140" t="s">
        <v>1798</v>
      </c>
      <c r="D103" s="142">
        <v>705536.89</v>
      </c>
      <c r="E103" s="140" t="s">
        <v>1799</v>
      </c>
      <c r="F103" s="140" t="s">
        <v>1800</v>
      </c>
      <c r="G103" s="140" t="s">
        <v>1801</v>
      </c>
      <c r="H103" s="140"/>
      <c r="I103" s="140" t="s">
        <v>1802</v>
      </c>
      <c r="J103" s="140" t="s">
        <v>1803</v>
      </c>
      <c r="K103" s="140" t="s">
        <v>1967</v>
      </c>
    </row>
    <row r="104" spans="1:11" x14ac:dyDescent="0.25">
      <c r="A104" s="140" t="s">
        <v>1966</v>
      </c>
      <c r="B104" s="141">
        <v>3186</v>
      </c>
      <c r="C104" s="140" t="s">
        <v>1798</v>
      </c>
      <c r="D104" s="142">
        <v>234672.75</v>
      </c>
      <c r="E104" s="140" t="s">
        <v>1799</v>
      </c>
      <c r="F104" s="140" t="s">
        <v>1800</v>
      </c>
      <c r="G104" s="140" t="s">
        <v>1801</v>
      </c>
      <c r="H104" s="140"/>
      <c r="I104" s="140" t="s">
        <v>1802</v>
      </c>
      <c r="J104" s="140" t="s">
        <v>1803</v>
      </c>
      <c r="K104" s="140" t="s">
        <v>1968</v>
      </c>
    </row>
    <row r="105" spans="1:11" x14ac:dyDescent="0.25">
      <c r="A105" s="140" t="s">
        <v>1966</v>
      </c>
      <c r="B105" s="141">
        <v>3189</v>
      </c>
      <c r="C105" s="140" t="s">
        <v>1798</v>
      </c>
      <c r="D105" s="142">
        <v>49876.09</v>
      </c>
      <c r="E105" s="140" t="s">
        <v>1799</v>
      </c>
      <c r="F105" s="140" t="s">
        <v>1800</v>
      </c>
      <c r="G105" s="140" t="s">
        <v>1801</v>
      </c>
      <c r="H105" s="140"/>
      <c r="I105" s="140" t="s">
        <v>1802</v>
      </c>
      <c r="J105" s="140" t="s">
        <v>1803</v>
      </c>
      <c r="K105" s="140" t="s">
        <v>1969</v>
      </c>
    </row>
    <row r="106" spans="1:11" x14ac:dyDescent="0.25">
      <c r="A106" s="140" t="s">
        <v>1970</v>
      </c>
      <c r="B106" s="141">
        <v>3260</v>
      </c>
      <c r="C106" s="140" t="s">
        <v>1798</v>
      </c>
      <c r="D106" s="142">
        <v>1118742.83</v>
      </c>
      <c r="E106" s="140" t="s">
        <v>1799</v>
      </c>
      <c r="F106" s="140" t="s">
        <v>1800</v>
      </c>
      <c r="G106" s="140" t="s">
        <v>1801</v>
      </c>
      <c r="H106" s="140"/>
      <c r="I106" s="140" t="s">
        <v>1802</v>
      </c>
      <c r="J106" s="140" t="s">
        <v>1803</v>
      </c>
      <c r="K106" s="140" t="s">
        <v>1971</v>
      </c>
    </row>
    <row r="107" spans="1:11" x14ac:dyDescent="0.25">
      <c r="A107" s="140" t="s">
        <v>1972</v>
      </c>
      <c r="B107" s="141">
        <v>3333</v>
      </c>
      <c r="C107" s="140" t="s">
        <v>1798</v>
      </c>
      <c r="D107" s="142">
        <v>1000000</v>
      </c>
      <c r="E107" s="140" t="s">
        <v>1799</v>
      </c>
      <c r="F107" s="140" t="s">
        <v>1800</v>
      </c>
      <c r="G107" s="140" t="s">
        <v>1801</v>
      </c>
      <c r="H107" s="140"/>
      <c r="I107" s="140" t="s">
        <v>1802</v>
      </c>
      <c r="J107" s="140" t="s">
        <v>1803</v>
      </c>
      <c r="K107" s="140" t="s">
        <v>1973</v>
      </c>
    </row>
    <row r="108" spans="1:11" x14ac:dyDescent="0.25">
      <c r="A108" s="140" t="s">
        <v>1974</v>
      </c>
      <c r="B108" s="141">
        <v>3368</v>
      </c>
      <c r="C108" s="140" t="s">
        <v>1798</v>
      </c>
      <c r="D108" s="142">
        <v>711315.05</v>
      </c>
      <c r="E108" s="140" t="s">
        <v>1812</v>
      </c>
      <c r="F108" s="140" t="s">
        <v>1800</v>
      </c>
      <c r="G108" s="140" t="s">
        <v>1801</v>
      </c>
      <c r="H108" s="140"/>
      <c r="I108" s="140" t="s">
        <v>1802</v>
      </c>
      <c r="J108" s="140" t="s">
        <v>1803</v>
      </c>
      <c r="K108" s="140" t="s">
        <v>1975</v>
      </c>
    </row>
    <row r="109" spans="1:11" x14ac:dyDescent="0.25">
      <c r="A109" s="140" t="s">
        <v>1974</v>
      </c>
      <c r="B109" s="141">
        <v>3371</v>
      </c>
      <c r="C109" s="140" t="s">
        <v>1798</v>
      </c>
      <c r="D109" s="142">
        <v>353729.48</v>
      </c>
      <c r="E109" s="140" t="s">
        <v>1799</v>
      </c>
      <c r="F109" s="140" t="s">
        <v>1800</v>
      </c>
      <c r="G109" s="140" t="s">
        <v>1801</v>
      </c>
      <c r="H109" s="140"/>
      <c r="I109" s="140" t="s">
        <v>1802</v>
      </c>
      <c r="J109" s="140" t="s">
        <v>1803</v>
      </c>
      <c r="K109" s="140" t="s">
        <v>1976</v>
      </c>
    </row>
    <row r="110" spans="1:11" x14ac:dyDescent="0.25">
      <c r="A110" s="140" t="s">
        <v>1977</v>
      </c>
      <c r="B110" s="141">
        <v>3403</v>
      </c>
      <c r="C110" s="140" t="s">
        <v>1798</v>
      </c>
      <c r="D110" s="142">
        <v>387084.72</v>
      </c>
      <c r="E110" s="140" t="s">
        <v>1799</v>
      </c>
      <c r="F110" s="140" t="s">
        <v>1800</v>
      </c>
      <c r="G110" s="140" t="s">
        <v>1801</v>
      </c>
      <c r="H110" s="140"/>
      <c r="I110" s="140" t="s">
        <v>1802</v>
      </c>
      <c r="J110" s="140" t="s">
        <v>1803</v>
      </c>
      <c r="K110" s="140" t="s">
        <v>1978</v>
      </c>
    </row>
    <row r="111" spans="1:11" x14ac:dyDescent="0.25">
      <c r="A111" s="140" t="s">
        <v>1979</v>
      </c>
      <c r="B111" s="141">
        <v>3450</v>
      </c>
      <c r="C111" s="140" t="s">
        <v>1798</v>
      </c>
      <c r="D111" s="142">
        <v>631677.26</v>
      </c>
      <c r="E111" s="140" t="s">
        <v>1799</v>
      </c>
      <c r="F111" s="140" t="s">
        <v>1800</v>
      </c>
      <c r="G111" s="140" t="s">
        <v>1801</v>
      </c>
      <c r="H111" s="140"/>
      <c r="I111" s="140" t="s">
        <v>1802</v>
      </c>
      <c r="J111" s="140" t="s">
        <v>1803</v>
      </c>
      <c r="K111" s="140" t="s">
        <v>1980</v>
      </c>
    </row>
    <row r="112" spans="1:11" x14ac:dyDescent="0.25">
      <c r="A112" s="140" t="s">
        <v>1981</v>
      </c>
      <c r="B112" s="141">
        <v>3453</v>
      </c>
      <c r="C112" s="140" t="s">
        <v>1798</v>
      </c>
      <c r="D112" s="142">
        <v>1027969.79</v>
      </c>
      <c r="E112" s="140" t="s">
        <v>1799</v>
      </c>
      <c r="F112" s="140" t="s">
        <v>1800</v>
      </c>
      <c r="G112" s="140" t="s">
        <v>1801</v>
      </c>
      <c r="H112" s="140"/>
      <c r="I112" s="140" t="s">
        <v>1802</v>
      </c>
      <c r="J112" s="140" t="s">
        <v>1803</v>
      </c>
      <c r="K112" s="140" t="s">
        <v>1982</v>
      </c>
    </row>
    <row r="113" spans="1:11" x14ac:dyDescent="0.25">
      <c r="A113" s="140" t="s">
        <v>1983</v>
      </c>
      <c r="B113" s="141">
        <v>3476</v>
      </c>
      <c r="C113" s="140" t="s">
        <v>1798</v>
      </c>
      <c r="D113" s="142">
        <v>192868.87</v>
      </c>
      <c r="E113" s="140" t="s">
        <v>1812</v>
      </c>
      <c r="F113" s="140" t="s">
        <v>1800</v>
      </c>
      <c r="G113" s="140" t="s">
        <v>1801</v>
      </c>
      <c r="H113" s="140"/>
      <c r="I113" s="140" t="s">
        <v>1802</v>
      </c>
      <c r="J113" s="140" t="s">
        <v>1803</v>
      </c>
      <c r="K113" s="140" t="s">
        <v>1984</v>
      </c>
    </row>
    <row r="114" spans="1:11" x14ac:dyDescent="0.25">
      <c r="A114" s="140" t="s">
        <v>1983</v>
      </c>
      <c r="B114" s="141">
        <v>3477</v>
      </c>
      <c r="C114" s="140" t="s">
        <v>1798</v>
      </c>
      <c r="D114" s="142">
        <v>188057.37</v>
      </c>
      <c r="E114" s="140" t="s">
        <v>1812</v>
      </c>
      <c r="F114" s="140" t="s">
        <v>1800</v>
      </c>
      <c r="G114" s="140" t="s">
        <v>1801</v>
      </c>
      <c r="H114" s="140"/>
      <c r="I114" s="140" t="s">
        <v>1802</v>
      </c>
      <c r="J114" s="140" t="s">
        <v>1803</v>
      </c>
      <c r="K114" s="140" t="s">
        <v>1985</v>
      </c>
    </row>
    <row r="115" spans="1:11" x14ac:dyDescent="0.25">
      <c r="A115" s="140" t="s">
        <v>1986</v>
      </c>
      <c r="B115" s="141">
        <v>3537</v>
      </c>
      <c r="C115" s="140" t="s">
        <v>1798</v>
      </c>
      <c r="D115" s="142">
        <v>789209.4</v>
      </c>
      <c r="E115" s="140" t="s">
        <v>1799</v>
      </c>
      <c r="F115" s="140" t="s">
        <v>1800</v>
      </c>
      <c r="G115" s="140" t="s">
        <v>1801</v>
      </c>
      <c r="H115" s="140"/>
      <c r="I115" s="140" t="s">
        <v>1802</v>
      </c>
      <c r="J115" s="140" t="s">
        <v>1803</v>
      </c>
      <c r="K115" s="140" t="s">
        <v>1987</v>
      </c>
    </row>
    <row r="116" spans="1:11" x14ac:dyDescent="0.25">
      <c r="A116" s="140" t="s">
        <v>1988</v>
      </c>
      <c r="B116" s="141">
        <v>3558</v>
      </c>
      <c r="C116" s="140" t="s">
        <v>1798</v>
      </c>
      <c r="D116" s="142">
        <v>3095005.9</v>
      </c>
      <c r="E116" s="140" t="s">
        <v>1799</v>
      </c>
      <c r="F116" s="140" t="s">
        <v>1800</v>
      </c>
      <c r="G116" s="140" t="s">
        <v>1801</v>
      </c>
      <c r="H116" s="140"/>
      <c r="I116" s="140" t="s">
        <v>1802</v>
      </c>
      <c r="J116" s="140" t="s">
        <v>1803</v>
      </c>
      <c r="K116" s="140" t="s">
        <v>1989</v>
      </c>
    </row>
    <row r="117" spans="1:11" x14ac:dyDescent="0.25">
      <c r="A117" s="140" t="s">
        <v>1988</v>
      </c>
      <c r="B117" s="141">
        <v>3559</v>
      </c>
      <c r="C117" s="140" t="s">
        <v>1798</v>
      </c>
      <c r="D117" s="142">
        <v>1022317.77</v>
      </c>
      <c r="E117" s="140" t="s">
        <v>1799</v>
      </c>
      <c r="F117" s="140" t="s">
        <v>1800</v>
      </c>
      <c r="G117" s="140" t="s">
        <v>1801</v>
      </c>
      <c r="H117" s="140"/>
      <c r="I117" s="140" t="s">
        <v>1802</v>
      </c>
      <c r="J117" s="140" t="s">
        <v>1803</v>
      </c>
      <c r="K117" s="140" t="s">
        <v>1990</v>
      </c>
    </row>
    <row r="118" spans="1:11" x14ac:dyDescent="0.25">
      <c r="A118" s="140" t="s">
        <v>1991</v>
      </c>
      <c r="B118" s="141">
        <v>3598</v>
      </c>
      <c r="C118" s="140" t="s">
        <v>1798</v>
      </c>
      <c r="D118" s="142">
        <v>3225864.84</v>
      </c>
      <c r="E118" s="140" t="s">
        <v>1799</v>
      </c>
      <c r="F118" s="140" t="s">
        <v>1800</v>
      </c>
      <c r="G118" s="140" t="s">
        <v>1801</v>
      </c>
      <c r="H118" s="140"/>
      <c r="I118" s="140" t="s">
        <v>1802</v>
      </c>
      <c r="J118" s="140" t="s">
        <v>1803</v>
      </c>
      <c r="K118" s="140" t="s">
        <v>1992</v>
      </c>
    </row>
    <row r="119" spans="1:11" x14ac:dyDescent="0.25">
      <c r="A119" s="140" t="s">
        <v>1991</v>
      </c>
      <c r="B119" s="141">
        <v>3599</v>
      </c>
      <c r="C119" s="140" t="s">
        <v>1798</v>
      </c>
      <c r="D119" s="142">
        <v>1963105.94</v>
      </c>
      <c r="E119" s="140" t="s">
        <v>1799</v>
      </c>
      <c r="F119" s="140" t="s">
        <v>1800</v>
      </c>
      <c r="G119" s="140" t="s">
        <v>1801</v>
      </c>
      <c r="H119" s="140"/>
      <c r="I119" s="140" t="s">
        <v>1802</v>
      </c>
      <c r="J119" s="140" t="s">
        <v>1803</v>
      </c>
      <c r="K119" s="140" t="s">
        <v>1993</v>
      </c>
    </row>
    <row r="120" spans="1:11" x14ac:dyDescent="0.25">
      <c r="A120" s="140" t="s">
        <v>1994</v>
      </c>
      <c r="B120" s="141">
        <v>3806</v>
      </c>
      <c r="C120" s="140" t="s">
        <v>1798</v>
      </c>
      <c r="D120" s="142">
        <v>602895.18000000005</v>
      </c>
      <c r="E120" s="140" t="s">
        <v>1799</v>
      </c>
      <c r="F120" s="140" t="s">
        <v>1800</v>
      </c>
      <c r="G120" s="140" t="s">
        <v>1801</v>
      </c>
      <c r="H120" s="140"/>
      <c r="I120" s="140" t="s">
        <v>1802</v>
      </c>
      <c r="J120" s="140" t="s">
        <v>1803</v>
      </c>
      <c r="K120" s="140" t="s">
        <v>1995</v>
      </c>
    </row>
    <row r="121" spans="1:11" x14ac:dyDescent="0.25">
      <c r="A121" s="140" t="s">
        <v>1994</v>
      </c>
      <c r="B121" s="141">
        <v>3816</v>
      </c>
      <c r="C121" s="140" t="s">
        <v>1798</v>
      </c>
      <c r="D121" s="142">
        <v>43364.59</v>
      </c>
      <c r="E121" s="140" t="s">
        <v>1799</v>
      </c>
      <c r="F121" s="140" t="s">
        <v>1800</v>
      </c>
      <c r="G121" s="140" t="s">
        <v>1801</v>
      </c>
      <c r="H121" s="140"/>
      <c r="I121" s="140" t="s">
        <v>1802</v>
      </c>
      <c r="J121" s="140" t="s">
        <v>1803</v>
      </c>
      <c r="K121" s="140" t="s">
        <v>1996</v>
      </c>
    </row>
    <row r="122" spans="1:11" x14ac:dyDescent="0.25">
      <c r="A122" s="140" t="s">
        <v>1997</v>
      </c>
      <c r="B122" s="141">
        <v>3889</v>
      </c>
      <c r="C122" s="140" t="s">
        <v>1798</v>
      </c>
      <c r="D122" s="142">
        <v>2243566.85</v>
      </c>
      <c r="E122" s="140" t="s">
        <v>1799</v>
      </c>
      <c r="F122" s="140" t="s">
        <v>1800</v>
      </c>
      <c r="G122" s="140" t="s">
        <v>1801</v>
      </c>
      <c r="H122" s="140"/>
      <c r="I122" s="140" t="s">
        <v>1802</v>
      </c>
      <c r="J122" s="140" t="s">
        <v>1803</v>
      </c>
      <c r="K122" s="140" t="s">
        <v>1998</v>
      </c>
    </row>
    <row r="123" spans="1:11" x14ac:dyDescent="0.25">
      <c r="A123" s="140" t="s">
        <v>1999</v>
      </c>
      <c r="B123" s="141">
        <v>3933</v>
      </c>
      <c r="C123" s="140" t="s">
        <v>1798</v>
      </c>
      <c r="D123" s="142">
        <v>746453.08</v>
      </c>
      <c r="E123" s="140" t="s">
        <v>1799</v>
      </c>
      <c r="F123" s="140" t="s">
        <v>1800</v>
      </c>
      <c r="G123" s="140" t="s">
        <v>1801</v>
      </c>
      <c r="H123" s="140"/>
      <c r="I123" s="140" t="s">
        <v>1802</v>
      </c>
      <c r="J123" s="140" t="s">
        <v>1803</v>
      </c>
      <c r="K123" s="140" t="s">
        <v>2000</v>
      </c>
    </row>
    <row r="124" spans="1:11" x14ac:dyDescent="0.25">
      <c r="A124" s="140" t="s">
        <v>1999</v>
      </c>
      <c r="B124" s="141">
        <v>3934</v>
      </c>
      <c r="C124" s="140" t="s">
        <v>1798</v>
      </c>
      <c r="D124" s="142">
        <v>630173.78</v>
      </c>
      <c r="E124" s="140" t="s">
        <v>1799</v>
      </c>
      <c r="F124" s="140" t="s">
        <v>1800</v>
      </c>
      <c r="G124" s="140" t="s">
        <v>1801</v>
      </c>
      <c r="H124" s="140"/>
      <c r="I124" s="140" t="s">
        <v>1802</v>
      </c>
      <c r="J124" s="140" t="s">
        <v>1803</v>
      </c>
      <c r="K124" s="140" t="s">
        <v>2001</v>
      </c>
    </row>
    <row r="125" spans="1:11" x14ac:dyDescent="0.25">
      <c r="A125" s="140" t="s">
        <v>2002</v>
      </c>
      <c r="B125" s="141">
        <v>3987</v>
      </c>
      <c r="C125" s="140" t="s">
        <v>1798</v>
      </c>
      <c r="D125" s="142">
        <v>2064620.13</v>
      </c>
      <c r="E125" s="140" t="s">
        <v>1799</v>
      </c>
      <c r="F125" s="140" t="s">
        <v>1800</v>
      </c>
      <c r="G125" s="140" t="s">
        <v>1801</v>
      </c>
      <c r="H125" s="140"/>
      <c r="I125" s="140" t="s">
        <v>1802</v>
      </c>
      <c r="J125" s="140" t="s">
        <v>1803</v>
      </c>
      <c r="K125" s="140" t="s">
        <v>2003</v>
      </c>
    </row>
    <row r="126" spans="1:11" x14ac:dyDescent="0.25">
      <c r="A126" s="140" t="s">
        <v>2002</v>
      </c>
      <c r="B126" s="141">
        <v>3988</v>
      </c>
      <c r="C126" s="140" t="s">
        <v>1798</v>
      </c>
      <c r="D126" s="142">
        <v>347656.18</v>
      </c>
      <c r="E126" s="140" t="s">
        <v>1799</v>
      </c>
      <c r="F126" s="140" t="s">
        <v>1800</v>
      </c>
      <c r="G126" s="140" t="s">
        <v>1801</v>
      </c>
      <c r="H126" s="140"/>
      <c r="I126" s="140" t="s">
        <v>1802</v>
      </c>
      <c r="J126" s="140" t="s">
        <v>1803</v>
      </c>
      <c r="K126" s="140" t="s">
        <v>2004</v>
      </c>
    </row>
    <row r="127" spans="1:11" x14ac:dyDescent="0.25">
      <c r="A127" s="140" t="s">
        <v>2005</v>
      </c>
      <c r="B127" s="141">
        <v>4014</v>
      </c>
      <c r="C127" s="140" t="s">
        <v>1798</v>
      </c>
      <c r="D127" s="142">
        <v>842742.75</v>
      </c>
      <c r="E127" s="140" t="s">
        <v>1799</v>
      </c>
      <c r="F127" s="140" t="s">
        <v>1800</v>
      </c>
      <c r="G127" s="140" t="s">
        <v>1801</v>
      </c>
      <c r="H127" s="140"/>
      <c r="I127" s="140" t="s">
        <v>1802</v>
      </c>
      <c r="J127" s="140" t="s">
        <v>1803</v>
      </c>
      <c r="K127" s="140" t="s">
        <v>2006</v>
      </c>
    </row>
    <row r="128" spans="1:11" x14ac:dyDescent="0.25">
      <c r="A128" s="140" t="s">
        <v>2007</v>
      </c>
      <c r="B128" s="141">
        <v>14041</v>
      </c>
      <c r="C128" s="140" t="s">
        <v>1798</v>
      </c>
      <c r="D128" s="142">
        <v>374108.64</v>
      </c>
      <c r="E128" s="140" t="s">
        <v>1799</v>
      </c>
      <c r="F128" s="140" t="s">
        <v>1800</v>
      </c>
      <c r="G128" s="140" t="s">
        <v>1801</v>
      </c>
      <c r="H128" s="140"/>
      <c r="I128" s="140" t="s">
        <v>1802</v>
      </c>
      <c r="J128" s="140" t="s">
        <v>1803</v>
      </c>
      <c r="K128" s="140" t="s">
        <v>2008</v>
      </c>
    </row>
    <row r="129" spans="1:11" x14ac:dyDescent="0.25">
      <c r="A129" s="140" t="s">
        <v>2007</v>
      </c>
      <c r="B129" s="141">
        <v>14042</v>
      </c>
      <c r="C129" s="140" t="s">
        <v>1798</v>
      </c>
      <c r="D129" s="142">
        <v>325498.99</v>
      </c>
      <c r="E129" s="140" t="s">
        <v>1799</v>
      </c>
      <c r="F129" s="140" t="s">
        <v>1800</v>
      </c>
      <c r="G129" s="140" t="s">
        <v>1801</v>
      </c>
      <c r="H129" s="140"/>
      <c r="I129" s="140" t="s">
        <v>1802</v>
      </c>
      <c r="J129" s="140" t="s">
        <v>1803</v>
      </c>
      <c r="K129" s="140" t="s">
        <v>2009</v>
      </c>
    </row>
    <row r="130" spans="1:11" x14ac:dyDescent="0.25">
      <c r="A130" s="140" t="s">
        <v>2010</v>
      </c>
      <c r="B130" s="141">
        <v>14051</v>
      </c>
      <c r="C130" s="140" t="s">
        <v>1798</v>
      </c>
      <c r="D130" s="142">
        <v>478828.02</v>
      </c>
      <c r="E130" s="140" t="s">
        <v>1799</v>
      </c>
      <c r="F130" s="140" t="s">
        <v>1800</v>
      </c>
      <c r="G130" s="140" t="s">
        <v>1801</v>
      </c>
      <c r="H130" s="140"/>
      <c r="I130" s="140" t="s">
        <v>1802</v>
      </c>
      <c r="J130" s="140" t="s">
        <v>1803</v>
      </c>
      <c r="K130" s="140" t="s">
        <v>2011</v>
      </c>
    </row>
    <row r="131" spans="1:11" x14ac:dyDescent="0.25">
      <c r="A131" s="140" t="s">
        <v>2010</v>
      </c>
      <c r="B131" s="141">
        <v>14052</v>
      </c>
      <c r="C131" s="140" t="s">
        <v>1798</v>
      </c>
      <c r="D131" s="142">
        <v>83181.37</v>
      </c>
      <c r="E131" s="140" t="s">
        <v>1799</v>
      </c>
      <c r="F131" s="140" t="s">
        <v>1800</v>
      </c>
      <c r="G131" s="140" t="s">
        <v>1801</v>
      </c>
      <c r="H131" s="140"/>
      <c r="I131" s="140" t="s">
        <v>1802</v>
      </c>
      <c r="J131" s="140" t="s">
        <v>1803</v>
      </c>
      <c r="K131" s="140" t="s">
        <v>2012</v>
      </c>
    </row>
    <row r="132" spans="1:11" x14ac:dyDescent="0.25">
      <c r="A132" s="140" t="s">
        <v>2013</v>
      </c>
      <c r="B132" s="141">
        <v>14076</v>
      </c>
      <c r="C132" s="140" t="s">
        <v>1798</v>
      </c>
      <c r="D132" s="142">
        <v>334621.34000000003</v>
      </c>
      <c r="E132" s="140" t="s">
        <v>1799</v>
      </c>
      <c r="F132" s="140" t="s">
        <v>1800</v>
      </c>
      <c r="G132" s="140" t="s">
        <v>1801</v>
      </c>
      <c r="H132" s="140"/>
      <c r="I132" s="140" t="s">
        <v>1802</v>
      </c>
      <c r="J132" s="140" t="s">
        <v>1803</v>
      </c>
      <c r="K132" s="140" t="s">
        <v>2014</v>
      </c>
    </row>
    <row r="133" spans="1:11" x14ac:dyDescent="0.25">
      <c r="A133" s="140" t="s">
        <v>2013</v>
      </c>
      <c r="B133" s="141">
        <v>14081</v>
      </c>
      <c r="C133" s="140" t="s">
        <v>1798</v>
      </c>
      <c r="D133" s="142">
        <v>75224.02</v>
      </c>
      <c r="E133" s="140" t="s">
        <v>1799</v>
      </c>
      <c r="F133" s="140" t="s">
        <v>1800</v>
      </c>
      <c r="G133" s="140" t="s">
        <v>1801</v>
      </c>
      <c r="H133" s="140"/>
      <c r="I133" s="140" t="s">
        <v>1802</v>
      </c>
      <c r="J133" s="140" t="s">
        <v>1803</v>
      </c>
      <c r="K133" s="140" t="s">
        <v>2015</v>
      </c>
    </row>
    <row r="134" spans="1:11" x14ac:dyDescent="0.25">
      <c r="A134" s="140" t="s">
        <v>2016</v>
      </c>
      <c r="B134" s="141">
        <v>14090</v>
      </c>
      <c r="C134" s="140" t="s">
        <v>1798</v>
      </c>
      <c r="D134" s="142">
        <v>121325.26</v>
      </c>
      <c r="E134" s="140" t="s">
        <v>1799</v>
      </c>
      <c r="F134" s="140" t="s">
        <v>1800</v>
      </c>
      <c r="G134" s="140" t="s">
        <v>1801</v>
      </c>
      <c r="H134" s="140"/>
      <c r="I134" s="140" t="s">
        <v>1802</v>
      </c>
      <c r="J134" s="140" t="s">
        <v>1803</v>
      </c>
      <c r="K134" s="140" t="s">
        <v>2017</v>
      </c>
    </row>
    <row r="135" spans="1:11" x14ac:dyDescent="0.25">
      <c r="A135" s="140" t="s">
        <v>2016</v>
      </c>
      <c r="B135" s="141">
        <v>14091</v>
      </c>
      <c r="C135" s="140" t="s">
        <v>1798</v>
      </c>
      <c r="D135" s="142">
        <v>151912.06</v>
      </c>
      <c r="E135" s="140" t="s">
        <v>1799</v>
      </c>
      <c r="F135" s="140" t="s">
        <v>1800</v>
      </c>
      <c r="G135" s="140" t="s">
        <v>1801</v>
      </c>
      <c r="H135" s="140"/>
      <c r="I135" s="140" t="s">
        <v>1802</v>
      </c>
      <c r="J135" s="140" t="s">
        <v>1803</v>
      </c>
      <c r="K135" s="140" t="s">
        <v>2018</v>
      </c>
    </row>
    <row r="136" spans="1:11" x14ac:dyDescent="0.25">
      <c r="A136" s="140" t="s">
        <v>2016</v>
      </c>
      <c r="B136" s="141">
        <v>14092</v>
      </c>
      <c r="C136" s="140" t="s">
        <v>1798</v>
      </c>
      <c r="D136" s="142">
        <v>100773.84</v>
      </c>
      <c r="E136" s="140" t="s">
        <v>1799</v>
      </c>
      <c r="F136" s="140" t="s">
        <v>1800</v>
      </c>
      <c r="G136" s="140" t="s">
        <v>1801</v>
      </c>
      <c r="H136" s="140"/>
      <c r="I136" s="140" t="s">
        <v>1802</v>
      </c>
      <c r="J136" s="140" t="s">
        <v>1803</v>
      </c>
      <c r="K136" s="140" t="s">
        <v>2019</v>
      </c>
    </row>
    <row r="137" spans="1:11" x14ac:dyDescent="0.25">
      <c r="A137" s="140" t="s">
        <v>2020</v>
      </c>
      <c r="B137" s="141">
        <v>14152</v>
      </c>
      <c r="C137" s="140" t="s">
        <v>1798</v>
      </c>
      <c r="D137" s="142">
        <v>867587.22</v>
      </c>
      <c r="E137" s="140" t="s">
        <v>1799</v>
      </c>
      <c r="F137" s="140" t="s">
        <v>1800</v>
      </c>
      <c r="G137" s="140" t="s">
        <v>1801</v>
      </c>
      <c r="H137" s="140"/>
      <c r="I137" s="140" t="s">
        <v>1802</v>
      </c>
      <c r="J137" s="140" t="s">
        <v>1803</v>
      </c>
      <c r="K137" s="140" t="s">
        <v>2021</v>
      </c>
    </row>
    <row r="138" spans="1:11" x14ac:dyDescent="0.25">
      <c r="A138" s="140" t="s">
        <v>2022</v>
      </c>
      <c r="B138" s="141">
        <v>14174</v>
      </c>
      <c r="C138" s="140" t="s">
        <v>1798</v>
      </c>
      <c r="D138" s="142">
        <v>1060068.81</v>
      </c>
      <c r="E138" s="140" t="s">
        <v>1799</v>
      </c>
      <c r="F138" s="140" t="s">
        <v>1800</v>
      </c>
      <c r="G138" s="140" t="s">
        <v>1801</v>
      </c>
      <c r="H138" s="140"/>
      <c r="I138" s="140" t="s">
        <v>1802</v>
      </c>
      <c r="J138" s="140" t="s">
        <v>1803</v>
      </c>
      <c r="K138" s="140" t="s">
        <v>2023</v>
      </c>
    </row>
    <row r="139" spans="1:11" x14ac:dyDescent="0.25">
      <c r="A139" s="140" t="s">
        <v>2024</v>
      </c>
      <c r="B139" s="141">
        <v>14245</v>
      </c>
      <c r="C139" s="140" t="s">
        <v>1798</v>
      </c>
      <c r="D139" s="142">
        <v>230000</v>
      </c>
      <c r="E139" s="140" t="s">
        <v>1799</v>
      </c>
      <c r="F139" s="140" t="s">
        <v>1800</v>
      </c>
      <c r="G139" s="140" t="s">
        <v>1801</v>
      </c>
      <c r="H139" s="140"/>
      <c r="I139" s="140" t="s">
        <v>1802</v>
      </c>
      <c r="J139" s="140" t="s">
        <v>1803</v>
      </c>
      <c r="K139" s="140" t="s">
        <v>2025</v>
      </c>
    </row>
    <row r="140" spans="1:11" x14ac:dyDescent="0.25">
      <c r="A140" s="140" t="s">
        <v>2024</v>
      </c>
      <c r="B140" s="141">
        <v>14248</v>
      </c>
      <c r="C140" s="140" t="s">
        <v>1798</v>
      </c>
      <c r="D140" s="142">
        <v>232119.81</v>
      </c>
      <c r="E140" s="140" t="s">
        <v>1799</v>
      </c>
      <c r="F140" s="140" t="s">
        <v>1800</v>
      </c>
      <c r="G140" s="140" t="s">
        <v>1801</v>
      </c>
      <c r="H140" s="140"/>
      <c r="I140" s="140" t="s">
        <v>1802</v>
      </c>
      <c r="J140" s="140" t="s">
        <v>1803</v>
      </c>
      <c r="K140" s="140" t="s">
        <v>2026</v>
      </c>
    </row>
    <row r="141" spans="1:11" x14ac:dyDescent="0.25">
      <c r="A141" s="140" t="s">
        <v>2027</v>
      </c>
      <c r="B141" s="141">
        <v>14298</v>
      </c>
      <c r="C141" s="140" t="s">
        <v>1798</v>
      </c>
      <c r="D141" s="142">
        <v>2034113.35</v>
      </c>
      <c r="E141" s="140" t="s">
        <v>1799</v>
      </c>
      <c r="F141" s="140" t="s">
        <v>1800</v>
      </c>
      <c r="G141" s="140" t="s">
        <v>1801</v>
      </c>
      <c r="H141" s="140"/>
      <c r="I141" s="140" t="s">
        <v>1802</v>
      </c>
      <c r="J141" s="140" t="s">
        <v>1803</v>
      </c>
      <c r="K141" s="140" t="s">
        <v>2028</v>
      </c>
    </row>
    <row r="142" spans="1:11" x14ac:dyDescent="0.25">
      <c r="A142" s="140" t="s">
        <v>2027</v>
      </c>
      <c r="B142" s="141">
        <v>14299</v>
      </c>
      <c r="C142" s="140" t="s">
        <v>1798</v>
      </c>
      <c r="D142" s="142">
        <v>470006.47</v>
      </c>
      <c r="E142" s="140" t="s">
        <v>1799</v>
      </c>
      <c r="F142" s="140" t="s">
        <v>1800</v>
      </c>
      <c r="G142" s="140" t="s">
        <v>1801</v>
      </c>
      <c r="H142" s="140"/>
      <c r="I142" s="140" t="s">
        <v>1802</v>
      </c>
      <c r="J142" s="140" t="s">
        <v>1803</v>
      </c>
      <c r="K142" s="140" t="s">
        <v>2029</v>
      </c>
    </row>
    <row r="143" spans="1:11" x14ac:dyDescent="0.25">
      <c r="A143" s="140" t="s">
        <v>2027</v>
      </c>
      <c r="B143" s="141">
        <v>14300</v>
      </c>
      <c r="C143" s="140" t="s">
        <v>1798</v>
      </c>
      <c r="D143" s="142">
        <v>528714.34</v>
      </c>
      <c r="E143" s="140" t="s">
        <v>1799</v>
      </c>
      <c r="F143" s="140" t="s">
        <v>1800</v>
      </c>
      <c r="G143" s="140" t="s">
        <v>1801</v>
      </c>
      <c r="H143" s="140"/>
      <c r="I143" s="140" t="s">
        <v>1802</v>
      </c>
      <c r="J143" s="140" t="s">
        <v>1803</v>
      </c>
      <c r="K143" s="140" t="s">
        <v>2030</v>
      </c>
    </row>
    <row r="144" spans="1:11" x14ac:dyDescent="0.25">
      <c r="A144" s="140" t="s">
        <v>2027</v>
      </c>
      <c r="B144" s="141">
        <v>14301</v>
      </c>
      <c r="C144" s="140" t="s">
        <v>1798</v>
      </c>
      <c r="D144" s="142">
        <v>137825.39000000001</v>
      </c>
      <c r="E144" s="140" t="s">
        <v>1799</v>
      </c>
      <c r="F144" s="140" t="s">
        <v>1800</v>
      </c>
      <c r="G144" s="140" t="s">
        <v>1801</v>
      </c>
      <c r="H144" s="140"/>
      <c r="I144" s="140" t="s">
        <v>1802</v>
      </c>
      <c r="J144" s="140" t="s">
        <v>1803</v>
      </c>
      <c r="K144" s="140" t="s">
        <v>2031</v>
      </c>
    </row>
    <row r="145" spans="1:11" x14ac:dyDescent="0.25">
      <c r="A145" s="140" t="s">
        <v>2032</v>
      </c>
      <c r="B145" s="141">
        <v>14326</v>
      </c>
      <c r="C145" s="140" t="s">
        <v>1798</v>
      </c>
      <c r="D145" s="142">
        <v>85876.01</v>
      </c>
      <c r="E145" s="140" t="s">
        <v>1799</v>
      </c>
      <c r="F145" s="140" t="s">
        <v>1800</v>
      </c>
      <c r="G145" s="140" t="s">
        <v>1801</v>
      </c>
      <c r="H145" s="140"/>
      <c r="I145" s="140" t="s">
        <v>1802</v>
      </c>
      <c r="J145" s="140" t="s">
        <v>1803</v>
      </c>
      <c r="K145" s="140" t="s">
        <v>2033</v>
      </c>
    </row>
    <row r="146" spans="1:11" x14ac:dyDescent="0.25">
      <c r="A146" s="140" t="s">
        <v>2032</v>
      </c>
      <c r="B146" s="141">
        <v>14327</v>
      </c>
      <c r="C146" s="140" t="s">
        <v>1798</v>
      </c>
      <c r="D146" s="142">
        <v>1275554.1100000001</v>
      </c>
      <c r="E146" s="140" t="s">
        <v>1799</v>
      </c>
      <c r="F146" s="140" t="s">
        <v>1800</v>
      </c>
      <c r="G146" s="140" t="s">
        <v>1801</v>
      </c>
      <c r="H146" s="140"/>
      <c r="I146" s="140" t="s">
        <v>1802</v>
      </c>
      <c r="J146" s="140" t="s">
        <v>1803</v>
      </c>
      <c r="K146" s="140" t="s">
        <v>2034</v>
      </c>
    </row>
    <row r="147" spans="1:11" x14ac:dyDescent="0.25">
      <c r="A147" s="140" t="s">
        <v>2032</v>
      </c>
      <c r="B147" s="141">
        <v>14363</v>
      </c>
      <c r="C147" s="140" t="s">
        <v>1798</v>
      </c>
      <c r="D147" s="142">
        <v>1190000</v>
      </c>
      <c r="E147" s="140" t="s">
        <v>1812</v>
      </c>
      <c r="F147" s="140" t="s">
        <v>1800</v>
      </c>
      <c r="G147" s="140" t="s">
        <v>1801</v>
      </c>
      <c r="H147" s="140"/>
      <c r="I147" s="140" t="s">
        <v>1802</v>
      </c>
      <c r="J147" s="140" t="s">
        <v>1803</v>
      </c>
      <c r="K147" s="140" t="s">
        <v>2035</v>
      </c>
    </row>
    <row r="148" spans="1:11" x14ac:dyDescent="0.25">
      <c r="A148" s="140" t="s">
        <v>2036</v>
      </c>
      <c r="B148" s="141">
        <v>14382</v>
      </c>
      <c r="C148" s="140" t="s">
        <v>1798</v>
      </c>
      <c r="D148" s="142">
        <v>1777784.73</v>
      </c>
      <c r="E148" s="140" t="s">
        <v>1799</v>
      </c>
      <c r="F148" s="140" t="s">
        <v>1800</v>
      </c>
      <c r="G148" s="140" t="s">
        <v>1801</v>
      </c>
      <c r="H148" s="140"/>
      <c r="I148" s="140" t="s">
        <v>1802</v>
      </c>
      <c r="J148" s="140" t="s">
        <v>1803</v>
      </c>
      <c r="K148" s="140" t="s">
        <v>2037</v>
      </c>
    </row>
    <row r="149" spans="1:11" x14ac:dyDescent="0.25">
      <c r="A149" s="140" t="s">
        <v>2038</v>
      </c>
      <c r="B149" s="141">
        <v>14410</v>
      </c>
      <c r="C149" s="140" t="s">
        <v>1798</v>
      </c>
      <c r="D149" s="142">
        <v>669657.72</v>
      </c>
      <c r="E149" s="140" t="s">
        <v>1799</v>
      </c>
      <c r="F149" s="140" t="s">
        <v>1800</v>
      </c>
      <c r="G149" s="140" t="s">
        <v>1801</v>
      </c>
      <c r="H149" s="140"/>
      <c r="I149" s="140" t="s">
        <v>1802</v>
      </c>
      <c r="J149" s="140" t="s">
        <v>1803</v>
      </c>
      <c r="K149" s="140" t="s">
        <v>2039</v>
      </c>
    </row>
    <row r="150" spans="1:11" x14ac:dyDescent="0.25">
      <c r="A150" s="140" t="s">
        <v>2040</v>
      </c>
      <c r="B150" s="141">
        <v>14490</v>
      </c>
      <c r="C150" s="140" t="s">
        <v>1798</v>
      </c>
      <c r="D150" s="142">
        <v>543521.66</v>
      </c>
      <c r="E150" s="140" t="s">
        <v>1799</v>
      </c>
      <c r="F150" s="140" t="s">
        <v>1800</v>
      </c>
      <c r="G150" s="140" t="s">
        <v>1801</v>
      </c>
      <c r="H150" s="140"/>
      <c r="I150" s="140" t="s">
        <v>1802</v>
      </c>
      <c r="J150" s="140" t="s">
        <v>1803</v>
      </c>
      <c r="K150" s="140" t="s">
        <v>2041</v>
      </c>
    </row>
    <row r="151" spans="1:11" x14ac:dyDescent="0.25">
      <c r="A151" s="140" t="s">
        <v>2042</v>
      </c>
      <c r="B151" s="141">
        <v>14497</v>
      </c>
      <c r="C151" s="140" t="s">
        <v>1798</v>
      </c>
      <c r="D151" s="142">
        <v>284105.71000000002</v>
      </c>
      <c r="E151" s="140" t="s">
        <v>1799</v>
      </c>
      <c r="F151" s="140" t="s">
        <v>1800</v>
      </c>
      <c r="G151" s="140" t="s">
        <v>1801</v>
      </c>
      <c r="H151" s="140"/>
      <c r="I151" s="140" t="s">
        <v>1802</v>
      </c>
      <c r="J151" s="140" t="s">
        <v>1803</v>
      </c>
      <c r="K151" s="140" t="s">
        <v>2043</v>
      </c>
    </row>
    <row r="152" spans="1:11" x14ac:dyDescent="0.25">
      <c r="A152" s="140" t="s">
        <v>2044</v>
      </c>
      <c r="B152" s="141">
        <v>14557</v>
      </c>
      <c r="C152" s="140" t="s">
        <v>1798</v>
      </c>
      <c r="D152" s="142">
        <v>371980.07</v>
      </c>
      <c r="E152" s="140" t="s">
        <v>1799</v>
      </c>
      <c r="F152" s="140" t="s">
        <v>1800</v>
      </c>
      <c r="G152" s="140" t="s">
        <v>1801</v>
      </c>
      <c r="H152" s="140"/>
      <c r="I152" s="140" t="s">
        <v>1802</v>
      </c>
      <c r="J152" s="140" t="s">
        <v>1803</v>
      </c>
      <c r="K152" s="140" t="s">
        <v>2045</v>
      </c>
    </row>
    <row r="153" spans="1:11" x14ac:dyDescent="0.25">
      <c r="A153" s="140" t="s">
        <v>2046</v>
      </c>
      <c r="B153" s="141">
        <v>14565</v>
      </c>
      <c r="C153" s="140" t="s">
        <v>1798</v>
      </c>
      <c r="D153" s="142">
        <v>1259483.33</v>
      </c>
      <c r="E153" s="140" t="s">
        <v>1799</v>
      </c>
      <c r="F153" s="140" t="s">
        <v>1800</v>
      </c>
      <c r="G153" s="140" t="s">
        <v>1801</v>
      </c>
      <c r="H153" s="140"/>
      <c r="I153" s="140" t="s">
        <v>1802</v>
      </c>
      <c r="J153" s="140" t="s">
        <v>1803</v>
      </c>
      <c r="K153" s="140" t="s">
        <v>2047</v>
      </c>
    </row>
    <row r="154" spans="1:11" x14ac:dyDescent="0.25">
      <c r="A154" s="140" t="s">
        <v>2048</v>
      </c>
      <c r="B154" s="141">
        <v>14582</v>
      </c>
      <c r="C154" s="140" t="s">
        <v>1798</v>
      </c>
      <c r="D154" s="142">
        <v>128672.88</v>
      </c>
      <c r="E154" s="140" t="s">
        <v>1799</v>
      </c>
      <c r="F154" s="140" t="s">
        <v>1800</v>
      </c>
      <c r="G154" s="140" t="s">
        <v>1801</v>
      </c>
      <c r="H154" s="140"/>
      <c r="I154" s="140" t="s">
        <v>1802</v>
      </c>
      <c r="J154" s="140" t="s">
        <v>1803</v>
      </c>
      <c r="K154" s="140" t="s">
        <v>2049</v>
      </c>
    </row>
    <row r="155" spans="1:11" x14ac:dyDescent="0.25">
      <c r="A155" s="140" t="s">
        <v>2050</v>
      </c>
      <c r="B155" s="141">
        <v>14610</v>
      </c>
      <c r="C155" s="140" t="s">
        <v>1798</v>
      </c>
      <c r="D155" s="142">
        <v>548389.21</v>
      </c>
      <c r="E155" s="140" t="s">
        <v>1799</v>
      </c>
      <c r="F155" s="140" t="s">
        <v>1800</v>
      </c>
      <c r="G155" s="140" t="s">
        <v>1801</v>
      </c>
      <c r="H155" s="140"/>
      <c r="I155" s="140" t="s">
        <v>1802</v>
      </c>
      <c r="J155" s="140" t="s">
        <v>1803</v>
      </c>
      <c r="K155" s="140" t="s">
        <v>2051</v>
      </c>
    </row>
    <row r="156" spans="1:11" x14ac:dyDescent="0.25">
      <c r="A156" s="140" t="s">
        <v>2052</v>
      </c>
      <c r="B156" s="141">
        <v>14670</v>
      </c>
      <c r="C156" s="140" t="s">
        <v>1798</v>
      </c>
      <c r="D156" s="142">
        <v>367049.43</v>
      </c>
      <c r="E156" s="140" t="s">
        <v>1799</v>
      </c>
      <c r="F156" s="140" t="s">
        <v>1800</v>
      </c>
      <c r="G156" s="140" t="s">
        <v>1801</v>
      </c>
      <c r="H156" s="140"/>
      <c r="I156" s="140" t="s">
        <v>1802</v>
      </c>
      <c r="J156" s="140" t="s">
        <v>1803</v>
      </c>
      <c r="K156" s="140" t="s">
        <v>2053</v>
      </c>
    </row>
    <row r="157" spans="1:11" x14ac:dyDescent="0.25">
      <c r="A157" s="140" t="s">
        <v>2052</v>
      </c>
      <c r="B157" s="141">
        <v>14671</v>
      </c>
      <c r="C157" s="140" t="s">
        <v>1798</v>
      </c>
      <c r="D157" s="142">
        <v>481670.46</v>
      </c>
      <c r="E157" s="140" t="s">
        <v>1799</v>
      </c>
      <c r="F157" s="140" t="s">
        <v>1800</v>
      </c>
      <c r="G157" s="140" t="s">
        <v>1801</v>
      </c>
      <c r="H157" s="140"/>
      <c r="I157" s="140" t="s">
        <v>1802</v>
      </c>
      <c r="J157" s="140" t="s">
        <v>1803</v>
      </c>
      <c r="K157" s="140" t="s">
        <v>2054</v>
      </c>
    </row>
    <row r="158" spans="1:11" x14ac:dyDescent="0.25">
      <c r="A158" s="140" t="s">
        <v>2052</v>
      </c>
      <c r="B158" s="141">
        <v>14672</v>
      </c>
      <c r="C158" s="140" t="s">
        <v>1798</v>
      </c>
      <c r="D158" s="142">
        <v>648184.4</v>
      </c>
      <c r="E158" s="140" t="s">
        <v>1799</v>
      </c>
      <c r="F158" s="140" t="s">
        <v>1800</v>
      </c>
      <c r="G158" s="140" t="s">
        <v>1801</v>
      </c>
      <c r="H158" s="140"/>
      <c r="I158" s="140" t="s">
        <v>1802</v>
      </c>
      <c r="J158" s="140" t="s">
        <v>1803</v>
      </c>
      <c r="K158" s="140" t="s">
        <v>2055</v>
      </c>
    </row>
    <row r="159" spans="1:11" x14ac:dyDescent="0.25">
      <c r="A159" s="140" t="s">
        <v>2052</v>
      </c>
      <c r="B159" s="141">
        <v>14673</v>
      </c>
      <c r="C159" s="140" t="s">
        <v>1798</v>
      </c>
      <c r="D159" s="142">
        <v>157376.63</v>
      </c>
      <c r="E159" s="140" t="s">
        <v>1799</v>
      </c>
      <c r="F159" s="140" t="s">
        <v>1800</v>
      </c>
      <c r="G159" s="140" t="s">
        <v>1801</v>
      </c>
      <c r="H159" s="140"/>
      <c r="I159" s="140" t="s">
        <v>1802</v>
      </c>
      <c r="J159" s="140" t="s">
        <v>1803</v>
      </c>
      <c r="K159" s="140" t="s">
        <v>2056</v>
      </c>
    </row>
    <row r="160" spans="1:11" x14ac:dyDescent="0.25">
      <c r="A160" s="140" t="s">
        <v>2052</v>
      </c>
      <c r="B160" s="141">
        <v>14674</v>
      </c>
      <c r="C160" s="140" t="s">
        <v>1798</v>
      </c>
      <c r="D160" s="142">
        <v>45977.45</v>
      </c>
      <c r="E160" s="140" t="s">
        <v>1799</v>
      </c>
      <c r="F160" s="140" t="s">
        <v>1800</v>
      </c>
      <c r="G160" s="140" t="s">
        <v>1801</v>
      </c>
      <c r="H160" s="140"/>
      <c r="I160" s="140" t="s">
        <v>1802</v>
      </c>
      <c r="J160" s="140" t="s">
        <v>1803</v>
      </c>
      <c r="K160" s="140" t="s">
        <v>2057</v>
      </c>
    </row>
    <row r="161" spans="1:11" x14ac:dyDescent="0.25">
      <c r="A161" s="140" t="s">
        <v>2058</v>
      </c>
      <c r="B161" s="141">
        <v>14740</v>
      </c>
      <c r="C161" s="140" t="s">
        <v>1798</v>
      </c>
      <c r="D161" s="142">
        <v>399251.73</v>
      </c>
      <c r="E161" s="140" t="s">
        <v>1799</v>
      </c>
      <c r="F161" s="140" t="s">
        <v>1800</v>
      </c>
      <c r="G161" s="140" t="s">
        <v>1801</v>
      </c>
      <c r="H161" s="140"/>
      <c r="I161" s="140" t="s">
        <v>1802</v>
      </c>
      <c r="J161" s="140" t="s">
        <v>1803</v>
      </c>
      <c r="K161" s="140" t="s">
        <v>2059</v>
      </c>
    </row>
    <row r="162" spans="1:11" x14ac:dyDescent="0.25">
      <c r="A162" s="140" t="s">
        <v>2058</v>
      </c>
      <c r="B162" s="141">
        <v>14741</v>
      </c>
      <c r="C162" s="140" t="s">
        <v>1798</v>
      </c>
      <c r="D162" s="142">
        <v>188063.07</v>
      </c>
      <c r="E162" s="140" t="s">
        <v>1799</v>
      </c>
      <c r="F162" s="140" t="s">
        <v>1800</v>
      </c>
      <c r="G162" s="140" t="s">
        <v>1801</v>
      </c>
      <c r="H162" s="140"/>
      <c r="I162" s="140" t="s">
        <v>1802</v>
      </c>
      <c r="J162" s="140" t="s">
        <v>1803</v>
      </c>
      <c r="K162" s="140" t="s">
        <v>2060</v>
      </c>
    </row>
    <row r="163" spans="1:11" x14ac:dyDescent="0.25">
      <c r="A163" s="140" t="s">
        <v>2058</v>
      </c>
      <c r="B163" s="141">
        <v>14744</v>
      </c>
      <c r="C163" s="140" t="s">
        <v>1798</v>
      </c>
      <c r="D163" s="142">
        <v>86831.32</v>
      </c>
      <c r="E163" s="140" t="s">
        <v>1799</v>
      </c>
      <c r="F163" s="140" t="s">
        <v>1800</v>
      </c>
      <c r="G163" s="140" t="s">
        <v>1801</v>
      </c>
      <c r="H163" s="140"/>
      <c r="I163" s="140" t="s">
        <v>1802</v>
      </c>
      <c r="J163" s="140" t="s">
        <v>1803</v>
      </c>
      <c r="K163" s="140" t="s">
        <v>2061</v>
      </c>
    </row>
    <row r="164" spans="1:11" x14ac:dyDescent="0.25">
      <c r="A164" s="140" t="s">
        <v>2058</v>
      </c>
      <c r="B164" s="141">
        <v>14745</v>
      </c>
      <c r="C164" s="140" t="s">
        <v>1798</v>
      </c>
      <c r="D164" s="142">
        <v>24686.58</v>
      </c>
      <c r="E164" s="140" t="s">
        <v>1799</v>
      </c>
      <c r="F164" s="140" t="s">
        <v>1800</v>
      </c>
      <c r="G164" s="140" t="s">
        <v>1801</v>
      </c>
      <c r="H164" s="140"/>
      <c r="I164" s="140" t="s">
        <v>1802</v>
      </c>
      <c r="J164" s="140" t="s">
        <v>1803</v>
      </c>
      <c r="K164" s="140" t="s">
        <v>2062</v>
      </c>
    </row>
    <row r="165" spans="1:11" x14ac:dyDescent="0.25">
      <c r="A165" s="140" t="s">
        <v>2058</v>
      </c>
      <c r="B165" s="141">
        <v>14777</v>
      </c>
      <c r="C165" s="140" t="s">
        <v>1798</v>
      </c>
      <c r="D165" s="142">
        <v>137003.82</v>
      </c>
      <c r="E165" s="140" t="s">
        <v>1812</v>
      </c>
      <c r="F165" s="140" t="s">
        <v>1800</v>
      </c>
      <c r="G165" s="140" t="s">
        <v>1801</v>
      </c>
      <c r="H165" s="140"/>
      <c r="I165" s="140" t="s">
        <v>1802</v>
      </c>
      <c r="J165" s="140" t="s">
        <v>1803</v>
      </c>
      <c r="K165" s="140" t="s">
        <v>2063</v>
      </c>
    </row>
    <row r="166" spans="1:11" x14ac:dyDescent="0.25">
      <c r="A166" s="140" t="s">
        <v>2058</v>
      </c>
      <c r="B166" s="141">
        <v>14778</v>
      </c>
      <c r="C166" s="140" t="s">
        <v>1798</v>
      </c>
      <c r="D166" s="142">
        <v>159955.54</v>
      </c>
      <c r="E166" s="140" t="s">
        <v>1812</v>
      </c>
      <c r="F166" s="140" t="s">
        <v>1800</v>
      </c>
      <c r="G166" s="140" t="s">
        <v>1801</v>
      </c>
      <c r="H166" s="140"/>
      <c r="I166" s="140" t="s">
        <v>1802</v>
      </c>
      <c r="J166" s="140" t="s">
        <v>1803</v>
      </c>
      <c r="K166" s="140" t="s">
        <v>2064</v>
      </c>
    </row>
    <row r="167" spans="1:11" x14ac:dyDescent="0.25">
      <c r="A167" s="140" t="s">
        <v>2058</v>
      </c>
      <c r="B167" s="141">
        <v>14779</v>
      </c>
      <c r="C167" s="140" t="s">
        <v>1798</v>
      </c>
      <c r="D167" s="142">
        <v>160715.26999999999</v>
      </c>
      <c r="E167" s="140" t="s">
        <v>1812</v>
      </c>
      <c r="F167" s="140" t="s">
        <v>1800</v>
      </c>
      <c r="G167" s="140" t="s">
        <v>1801</v>
      </c>
      <c r="H167" s="140"/>
      <c r="I167" s="140" t="s">
        <v>1802</v>
      </c>
      <c r="J167" s="140" t="s">
        <v>1803</v>
      </c>
      <c r="K167" s="140" t="s">
        <v>2065</v>
      </c>
    </row>
    <row r="168" spans="1:11" x14ac:dyDescent="0.25">
      <c r="A168" s="140" t="s">
        <v>2066</v>
      </c>
      <c r="B168" s="141">
        <v>14789</v>
      </c>
      <c r="C168" s="140" t="s">
        <v>1798</v>
      </c>
      <c r="D168" s="142">
        <v>122881.72</v>
      </c>
      <c r="E168" s="140" t="s">
        <v>1812</v>
      </c>
      <c r="F168" s="140" t="s">
        <v>1800</v>
      </c>
      <c r="G168" s="140" t="s">
        <v>1801</v>
      </c>
      <c r="H168" s="140"/>
      <c r="I168" s="140" t="s">
        <v>1802</v>
      </c>
      <c r="J168" s="140" t="s">
        <v>1803</v>
      </c>
      <c r="K168" s="140" t="s">
        <v>2067</v>
      </c>
    </row>
    <row r="169" spans="1:11" x14ac:dyDescent="0.25">
      <c r="A169" s="140" t="s">
        <v>2066</v>
      </c>
      <c r="B169" s="141">
        <v>14792</v>
      </c>
      <c r="C169" s="140" t="s">
        <v>1798</v>
      </c>
      <c r="D169" s="142">
        <v>149556.76</v>
      </c>
      <c r="E169" s="140" t="s">
        <v>1799</v>
      </c>
      <c r="F169" s="140" t="s">
        <v>1800</v>
      </c>
      <c r="G169" s="140" t="s">
        <v>1801</v>
      </c>
      <c r="H169" s="140"/>
      <c r="I169" s="140" t="s">
        <v>1802</v>
      </c>
      <c r="J169" s="140" t="s">
        <v>1803</v>
      </c>
      <c r="K169" s="140" t="s">
        <v>2068</v>
      </c>
    </row>
    <row r="170" spans="1:11" x14ac:dyDescent="0.25">
      <c r="A170" s="140" t="s">
        <v>2066</v>
      </c>
      <c r="B170" s="141">
        <v>14793</v>
      </c>
      <c r="C170" s="140" t="s">
        <v>1798</v>
      </c>
      <c r="D170" s="142">
        <v>205556.35</v>
      </c>
      <c r="E170" s="140" t="s">
        <v>1799</v>
      </c>
      <c r="F170" s="140" t="s">
        <v>1800</v>
      </c>
      <c r="G170" s="140" t="s">
        <v>1801</v>
      </c>
      <c r="H170" s="140"/>
      <c r="I170" s="140" t="s">
        <v>1802</v>
      </c>
      <c r="J170" s="140" t="s">
        <v>1803</v>
      </c>
      <c r="K170" s="140" t="s">
        <v>2069</v>
      </c>
    </row>
    <row r="171" spans="1:11" x14ac:dyDescent="0.25">
      <c r="A171" s="140" t="s">
        <v>2066</v>
      </c>
      <c r="B171" s="141">
        <v>14794</v>
      </c>
      <c r="C171" s="140" t="s">
        <v>1798</v>
      </c>
      <c r="D171" s="142">
        <v>303711.44</v>
      </c>
      <c r="E171" s="140" t="s">
        <v>1799</v>
      </c>
      <c r="F171" s="140" t="s">
        <v>1800</v>
      </c>
      <c r="G171" s="140" t="s">
        <v>1801</v>
      </c>
      <c r="H171" s="140"/>
      <c r="I171" s="140" t="s">
        <v>1802</v>
      </c>
      <c r="J171" s="140" t="s">
        <v>1803</v>
      </c>
      <c r="K171" s="140" t="s">
        <v>2070</v>
      </c>
    </row>
    <row r="172" spans="1:11" x14ac:dyDescent="0.25">
      <c r="A172" s="140" t="s">
        <v>2066</v>
      </c>
      <c r="B172" s="141">
        <v>14795</v>
      </c>
      <c r="C172" s="140" t="s">
        <v>1798</v>
      </c>
      <c r="D172" s="142">
        <v>273898.09000000003</v>
      </c>
      <c r="E172" s="140" t="s">
        <v>1799</v>
      </c>
      <c r="F172" s="140" t="s">
        <v>1800</v>
      </c>
      <c r="G172" s="140" t="s">
        <v>1801</v>
      </c>
      <c r="H172" s="140"/>
      <c r="I172" s="140" t="s">
        <v>1802</v>
      </c>
      <c r="J172" s="140" t="s">
        <v>1803</v>
      </c>
      <c r="K172" s="140" t="s">
        <v>2071</v>
      </c>
    </row>
    <row r="173" spans="1:11" x14ac:dyDescent="0.25">
      <c r="A173" s="140" t="s">
        <v>2066</v>
      </c>
      <c r="B173" s="141">
        <v>14796</v>
      </c>
      <c r="C173" s="140" t="s">
        <v>1798</v>
      </c>
      <c r="D173" s="142">
        <v>360303.42</v>
      </c>
      <c r="E173" s="140" t="s">
        <v>1799</v>
      </c>
      <c r="F173" s="140" t="s">
        <v>1800</v>
      </c>
      <c r="G173" s="140" t="s">
        <v>1801</v>
      </c>
      <c r="H173" s="140"/>
      <c r="I173" s="140" t="s">
        <v>1802</v>
      </c>
      <c r="J173" s="140" t="s">
        <v>1803</v>
      </c>
      <c r="K173" s="140" t="s">
        <v>2072</v>
      </c>
    </row>
    <row r="174" spans="1:11" x14ac:dyDescent="0.25">
      <c r="A174" s="140" t="s">
        <v>2073</v>
      </c>
      <c r="B174" s="141">
        <v>14813</v>
      </c>
      <c r="C174" s="140" t="s">
        <v>1798</v>
      </c>
      <c r="D174" s="142">
        <v>218962.11</v>
      </c>
      <c r="E174" s="140" t="s">
        <v>1799</v>
      </c>
      <c r="F174" s="140" t="s">
        <v>1800</v>
      </c>
      <c r="G174" s="140" t="s">
        <v>1801</v>
      </c>
      <c r="H174" s="140"/>
      <c r="I174" s="140" t="s">
        <v>1802</v>
      </c>
      <c r="J174" s="140" t="s">
        <v>1803</v>
      </c>
      <c r="K174" s="140" t="s">
        <v>2074</v>
      </c>
    </row>
    <row r="175" spans="1:11" x14ac:dyDescent="0.25">
      <c r="A175" s="140" t="s">
        <v>2073</v>
      </c>
      <c r="B175" s="141">
        <v>14814</v>
      </c>
      <c r="C175" s="140" t="s">
        <v>1798</v>
      </c>
      <c r="D175" s="142">
        <v>73750.25</v>
      </c>
      <c r="E175" s="140" t="s">
        <v>1799</v>
      </c>
      <c r="F175" s="140" t="s">
        <v>1800</v>
      </c>
      <c r="G175" s="140" t="s">
        <v>1801</v>
      </c>
      <c r="H175" s="140"/>
      <c r="I175" s="140" t="s">
        <v>1802</v>
      </c>
      <c r="J175" s="140" t="s">
        <v>1803</v>
      </c>
      <c r="K175" s="140" t="s">
        <v>2075</v>
      </c>
    </row>
    <row r="176" spans="1:11" x14ac:dyDescent="0.25">
      <c r="A176" s="140" t="s">
        <v>2073</v>
      </c>
      <c r="B176" s="141">
        <v>14815</v>
      </c>
      <c r="C176" s="140" t="s">
        <v>1798</v>
      </c>
      <c r="D176" s="142">
        <v>75828.5</v>
      </c>
      <c r="E176" s="140" t="s">
        <v>1799</v>
      </c>
      <c r="F176" s="140" t="s">
        <v>1800</v>
      </c>
      <c r="G176" s="140" t="s">
        <v>1801</v>
      </c>
      <c r="H176" s="140"/>
      <c r="I176" s="140" t="s">
        <v>1802</v>
      </c>
      <c r="J176" s="140" t="s">
        <v>1803</v>
      </c>
      <c r="K176" s="140" t="s">
        <v>2076</v>
      </c>
    </row>
    <row r="177" spans="1:11" x14ac:dyDescent="0.25">
      <c r="A177" s="140" t="s">
        <v>2073</v>
      </c>
      <c r="B177" s="141">
        <v>14816</v>
      </c>
      <c r="C177" s="140" t="s">
        <v>1798</v>
      </c>
      <c r="D177" s="142">
        <v>68378.78</v>
      </c>
      <c r="E177" s="140" t="s">
        <v>1799</v>
      </c>
      <c r="F177" s="140" t="s">
        <v>1800</v>
      </c>
      <c r="G177" s="140" t="s">
        <v>1801</v>
      </c>
      <c r="H177" s="140"/>
      <c r="I177" s="140" t="s">
        <v>1802</v>
      </c>
      <c r="J177" s="140" t="s">
        <v>1803</v>
      </c>
      <c r="K177" s="140" t="s">
        <v>2077</v>
      </c>
    </row>
    <row r="178" spans="1:11" x14ac:dyDescent="0.25">
      <c r="A178" s="140" t="s">
        <v>2073</v>
      </c>
      <c r="B178" s="141">
        <v>14817</v>
      </c>
      <c r="C178" s="140" t="s">
        <v>1798</v>
      </c>
      <c r="D178" s="142">
        <v>200745.59</v>
      </c>
      <c r="E178" s="140" t="s">
        <v>1799</v>
      </c>
      <c r="F178" s="140" t="s">
        <v>1800</v>
      </c>
      <c r="G178" s="140" t="s">
        <v>1801</v>
      </c>
      <c r="H178" s="140"/>
      <c r="I178" s="140" t="s">
        <v>1802</v>
      </c>
      <c r="J178" s="140" t="s">
        <v>1803</v>
      </c>
      <c r="K178" s="140" t="s">
        <v>2078</v>
      </c>
    </row>
    <row r="179" spans="1:11" x14ac:dyDescent="0.25">
      <c r="A179" s="140" t="s">
        <v>2073</v>
      </c>
      <c r="B179" s="141">
        <v>14818</v>
      </c>
      <c r="C179" s="140" t="s">
        <v>1798</v>
      </c>
      <c r="D179" s="142">
        <v>86716.78</v>
      </c>
      <c r="E179" s="140" t="s">
        <v>1799</v>
      </c>
      <c r="F179" s="140" t="s">
        <v>1800</v>
      </c>
      <c r="G179" s="140" t="s">
        <v>1801</v>
      </c>
      <c r="H179" s="140"/>
      <c r="I179" s="140" t="s">
        <v>1802</v>
      </c>
      <c r="J179" s="140" t="s">
        <v>1803</v>
      </c>
      <c r="K179" s="140" t="s">
        <v>2079</v>
      </c>
    </row>
    <row r="180" spans="1:11" x14ac:dyDescent="0.25">
      <c r="A180" s="140" t="s">
        <v>2073</v>
      </c>
      <c r="B180" s="141">
        <v>14819</v>
      </c>
      <c r="C180" s="140" t="s">
        <v>1798</v>
      </c>
      <c r="D180" s="142">
        <v>102315.95</v>
      </c>
      <c r="E180" s="140" t="s">
        <v>1799</v>
      </c>
      <c r="F180" s="140" t="s">
        <v>1800</v>
      </c>
      <c r="G180" s="140" t="s">
        <v>1801</v>
      </c>
      <c r="H180" s="140"/>
      <c r="I180" s="140" t="s">
        <v>1802</v>
      </c>
      <c r="J180" s="140" t="s">
        <v>1803</v>
      </c>
      <c r="K180" s="140" t="s">
        <v>2080</v>
      </c>
    </row>
    <row r="181" spans="1:11" x14ac:dyDescent="0.25">
      <c r="A181" s="140" t="s">
        <v>2073</v>
      </c>
      <c r="B181" s="141">
        <v>14820</v>
      </c>
      <c r="C181" s="140" t="s">
        <v>1798</v>
      </c>
      <c r="D181" s="142">
        <v>84244.34</v>
      </c>
      <c r="E181" s="140" t="s">
        <v>1799</v>
      </c>
      <c r="F181" s="140" t="s">
        <v>1800</v>
      </c>
      <c r="G181" s="140" t="s">
        <v>1801</v>
      </c>
      <c r="H181" s="140"/>
      <c r="I181" s="140" t="s">
        <v>1802</v>
      </c>
      <c r="J181" s="140" t="s">
        <v>1803</v>
      </c>
      <c r="K181" s="140" t="s">
        <v>2081</v>
      </c>
    </row>
    <row r="182" spans="1:11" x14ac:dyDescent="0.25">
      <c r="A182" s="140" t="s">
        <v>2073</v>
      </c>
      <c r="B182" s="141">
        <v>14821</v>
      </c>
      <c r="C182" s="140" t="s">
        <v>1798</v>
      </c>
      <c r="D182" s="142">
        <v>84915.45</v>
      </c>
      <c r="E182" s="140" t="s">
        <v>1799</v>
      </c>
      <c r="F182" s="140" t="s">
        <v>1800</v>
      </c>
      <c r="G182" s="140" t="s">
        <v>1801</v>
      </c>
      <c r="H182" s="140"/>
      <c r="I182" s="140" t="s">
        <v>1802</v>
      </c>
      <c r="J182" s="140" t="s">
        <v>1803</v>
      </c>
      <c r="K182" s="140" t="s">
        <v>2082</v>
      </c>
    </row>
    <row r="183" spans="1:11" x14ac:dyDescent="0.25">
      <c r="A183" s="140" t="s">
        <v>2073</v>
      </c>
      <c r="B183" s="141">
        <v>14822</v>
      </c>
      <c r="C183" s="140" t="s">
        <v>1798</v>
      </c>
      <c r="D183" s="142">
        <v>54780.75</v>
      </c>
      <c r="E183" s="140" t="s">
        <v>1799</v>
      </c>
      <c r="F183" s="140" t="s">
        <v>1800</v>
      </c>
      <c r="G183" s="140" t="s">
        <v>1801</v>
      </c>
      <c r="H183" s="140"/>
      <c r="I183" s="140" t="s">
        <v>1802</v>
      </c>
      <c r="J183" s="140" t="s">
        <v>1803</v>
      </c>
      <c r="K183" s="140" t="s">
        <v>2083</v>
      </c>
    </row>
    <row r="184" spans="1:11" x14ac:dyDescent="0.25">
      <c r="A184" s="140" t="s">
        <v>2084</v>
      </c>
      <c r="B184" s="141">
        <v>14857</v>
      </c>
      <c r="C184" s="140" t="s">
        <v>1798</v>
      </c>
      <c r="D184" s="142">
        <v>120252.31</v>
      </c>
      <c r="E184" s="140" t="s">
        <v>1799</v>
      </c>
      <c r="F184" s="140" t="s">
        <v>1800</v>
      </c>
      <c r="G184" s="140" t="s">
        <v>1801</v>
      </c>
      <c r="H184" s="140"/>
      <c r="I184" s="140" t="s">
        <v>1802</v>
      </c>
      <c r="J184" s="140" t="s">
        <v>1803</v>
      </c>
      <c r="K184" s="140" t="s">
        <v>2085</v>
      </c>
    </row>
    <row r="185" spans="1:11" x14ac:dyDescent="0.25">
      <c r="A185" s="140" t="s">
        <v>2084</v>
      </c>
      <c r="B185" s="141">
        <v>14858</v>
      </c>
      <c r="C185" s="140" t="s">
        <v>1798</v>
      </c>
      <c r="D185" s="142">
        <v>186343.24</v>
      </c>
      <c r="E185" s="140" t="s">
        <v>1799</v>
      </c>
      <c r="F185" s="140" t="s">
        <v>1800</v>
      </c>
      <c r="G185" s="140" t="s">
        <v>1801</v>
      </c>
      <c r="H185" s="140"/>
      <c r="I185" s="140" t="s">
        <v>1802</v>
      </c>
      <c r="J185" s="140" t="s">
        <v>1803</v>
      </c>
      <c r="K185" s="140" t="s">
        <v>2086</v>
      </c>
    </row>
    <row r="186" spans="1:11" x14ac:dyDescent="0.25">
      <c r="A186" s="140" t="s">
        <v>2084</v>
      </c>
      <c r="B186" s="141">
        <v>14859</v>
      </c>
      <c r="C186" s="140" t="s">
        <v>1798</v>
      </c>
      <c r="D186" s="142">
        <v>232996.2</v>
      </c>
      <c r="E186" s="140" t="s">
        <v>1799</v>
      </c>
      <c r="F186" s="140" t="s">
        <v>1800</v>
      </c>
      <c r="G186" s="140" t="s">
        <v>1801</v>
      </c>
      <c r="H186" s="140"/>
      <c r="I186" s="140" t="s">
        <v>1802</v>
      </c>
      <c r="J186" s="140" t="s">
        <v>1803</v>
      </c>
      <c r="K186" s="140" t="s">
        <v>2087</v>
      </c>
    </row>
    <row r="187" spans="1:11" x14ac:dyDescent="0.25">
      <c r="A187" s="140" t="s">
        <v>2084</v>
      </c>
      <c r="B187" s="141">
        <v>14860</v>
      </c>
      <c r="C187" s="140" t="s">
        <v>1798</v>
      </c>
      <c r="D187" s="142">
        <v>338359.87</v>
      </c>
      <c r="E187" s="140" t="s">
        <v>1799</v>
      </c>
      <c r="F187" s="140" t="s">
        <v>1800</v>
      </c>
      <c r="G187" s="140" t="s">
        <v>1801</v>
      </c>
      <c r="H187" s="140"/>
      <c r="I187" s="140" t="s">
        <v>1802</v>
      </c>
      <c r="J187" s="140" t="s">
        <v>1803</v>
      </c>
      <c r="K187" s="140" t="s">
        <v>2088</v>
      </c>
    </row>
    <row r="188" spans="1:11" x14ac:dyDescent="0.25">
      <c r="A188" s="140" t="s">
        <v>2084</v>
      </c>
      <c r="B188" s="141">
        <v>14861</v>
      </c>
      <c r="C188" s="140" t="s">
        <v>1798</v>
      </c>
      <c r="D188" s="142">
        <v>508125.47</v>
      </c>
      <c r="E188" s="140" t="s">
        <v>1799</v>
      </c>
      <c r="F188" s="140" t="s">
        <v>1800</v>
      </c>
      <c r="G188" s="140" t="s">
        <v>1801</v>
      </c>
      <c r="H188" s="140"/>
      <c r="I188" s="140" t="s">
        <v>1802</v>
      </c>
      <c r="J188" s="140" t="s">
        <v>1803</v>
      </c>
      <c r="K188" s="140" t="s">
        <v>2089</v>
      </c>
    </row>
    <row r="189" spans="1:11" x14ac:dyDescent="0.25">
      <c r="A189" s="140" t="s">
        <v>2090</v>
      </c>
      <c r="B189" s="141">
        <v>14902</v>
      </c>
      <c r="C189" s="140" t="s">
        <v>1798</v>
      </c>
      <c r="D189" s="142">
        <v>457255.91</v>
      </c>
      <c r="E189" s="140" t="s">
        <v>1799</v>
      </c>
      <c r="F189" s="140" t="s">
        <v>1800</v>
      </c>
      <c r="G189" s="140" t="s">
        <v>1801</v>
      </c>
      <c r="H189" s="140"/>
      <c r="I189" s="140" t="s">
        <v>1802</v>
      </c>
      <c r="J189" s="140" t="s">
        <v>1803</v>
      </c>
      <c r="K189" s="140" t="s">
        <v>2091</v>
      </c>
    </row>
    <row r="190" spans="1:11" x14ac:dyDescent="0.25">
      <c r="A190" s="140" t="s">
        <v>2090</v>
      </c>
      <c r="B190" s="141">
        <v>14903</v>
      </c>
      <c r="C190" s="140" t="s">
        <v>1798</v>
      </c>
      <c r="D190" s="142">
        <v>566799.37</v>
      </c>
      <c r="E190" s="140" t="s">
        <v>1799</v>
      </c>
      <c r="F190" s="140" t="s">
        <v>1800</v>
      </c>
      <c r="G190" s="140" t="s">
        <v>1801</v>
      </c>
      <c r="H190" s="140"/>
      <c r="I190" s="140" t="s">
        <v>1802</v>
      </c>
      <c r="J190" s="140" t="s">
        <v>1803</v>
      </c>
      <c r="K190" s="140" t="s">
        <v>2092</v>
      </c>
    </row>
    <row r="191" spans="1:11" x14ac:dyDescent="0.25">
      <c r="A191" s="140" t="s">
        <v>2090</v>
      </c>
      <c r="B191" s="141">
        <v>14938</v>
      </c>
      <c r="C191" s="140" t="s">
        <v>1798</v>
      </c>
      <c r="D191" s="142">
        <v>336955.2</v>
      </c>
      <c r="E191" s="140" t="s">
        <v>1812</v>
      </c>
      <c r="F191" s="140" t="s">
        <v>1800</v>
      </c>
      <c r="G191" s="140" t="s">
        <v>1801</v>
      </c>
      <c r="H191" s="140"/>
      <c r="I191" s="140" t="s">
        <v>1802</v>
      </c>
      <c r="J191" s="140" t="s">
        <v>1803</v>
      </c>
      <c r="K191" s="140" t="s">
        <v>2093</v>
      </c>
    </row>
    <row r="192" spans="1:11" x14ac:dyDescent="0.25">
      <c r="A192" s="140" t="s">
        <v>2094</v>
      </c>
      <c r="B192" s="141">
        <v>14947</v>
      </c>
      <c r="C192" s="140" t="s">
        <v>1798</v>
      </c>
      <c r="D192" s="142">
        <v>105757.18</v>
      </c>
      <c r="E192" s="140" t="s">
        <v>1799</v>
      </c>
      <c r="F192" s="140" t="s">
        <v>1800</v>
      </c>
      <c r="G192" s="140" t="s">
        <v>1801</v>
      </c>
      <c r="H192" s="140"/>
      <c r="I192" s="140" t="s">
        <v>1802</v>
      </c>
      <c r="J192" s="140" t="s">
        <v>1803</v>
      </c>
      <c r="K192" s="140" t="s">
        <v>2095</v>
      </c>
    </row>
    <row r="193" spans="1:11" x14ac:dyDescent="0.25">
      <c r="A193" s="140" t="s">
        <v>2094</v>
      </c>
      <c r="B193" s="141">
        <v>14948</v>
      </c>
      <c r="C193" s="140" t="s">
        <v>1798</v>
      </c>
      <c r="D193" s="142">
        <v>117899.59</v>
      </c>
      <c r="E193" s="140" t="s">
        <v>1799</v>
      </c>
      <c r="F193" s="140" t="s">
        <v>1800</v>
      </c>
      <c r="G193" s="140" t="s">
        <v>1801</v>
      </c>
      <c r="H193" s="140"/>
      <c r="I193" s="140" t="s">
        <v>1802</v>
      </c>
      <c r="J193" s="140" t="s">
        <v>1803</v>
      </c>
      <c r="K193" s="140" t="s">
        <v>2096</v>
      </c>
    </row>
    <row r="194" spans="1:11" x14ac:dyDescent="0.25">
      <c r="A194" s="140" t="s">
        <v>2094</v>
      </c>
      <c r="B194" s="141">
        <v>14975</v>
      </c>
      <c r="C194" s="140" t="s">
        <v>1798</v>
      </c>
      <c r="D194" s="142">
        <v>40949.18</v>
      </c>
      <c r="E194" s="140" t="s">
        <v>1799</v>
      </c>
      <c r="F194" s="140" t="s">
        <v>1800</v>
      </c>
      <c r="G194" s="140" t="s">
        <v>1801</v>
      </c>
      <c r="H194" s="140"/>
      <c r="I194" s="140" t="s">
        <v>1802</v>
      </c>
      <c r="J194" s="140" t="s">
        <v>1803</v>
      </c>
      <c r="K194" s="140" t="s">
        <v>2097</v>
      </c>
    </row>
    <row r="195" spans="1:11" x14ac:dyDescent="0.25">
      <c r="A195" s="140" t="s">
        <v>2098</v>
      </c>
      <c r="B195" s="141">
        <v>14998</v>
      </c>
      <c r="C195" s="140" t="s">
        <v>1798</v>
      </c>
      <c r="D195" s="142">
        <v>101673.99</v>
      </c>
      <c r="E195" s="140" t="s">
        <v>1812</v>
      </c>
      <c r="F195" s="140" t="s">
        <v>1800</v>
      </c>
      <c r="G195" s="140" t="s">
        <v>1801</v>
      </c>
      <c r="H195" s="140"/>
      <c r="I195" s="140" t="s">
        <v>1802</v>
      </c>
      <c r="J195" s="140" t="s">
        <v>1803</v>
      </c>
      <c r="K195" s="140" t="s">
        <v>2099</v>
      </c>
    </row>
    <row r="196" spans="1:11" x14ac:dyDescent="0.25">
      <c r="A196" s="140" t="s">
        <v>2098</v>
      </c>
      <c r="B196" s="141">
        <v>14999</v>
      </c>
      <c r="C196" s="140" t="s">
        <v>1798</v>
      </c>
      <c r="D196" s="142">
        <v>39014.78</v>
      </c>
      <c r="E196" s="140" t="s">
        <v>1812</v>
      </c>
      <c r="F196" s="140" t="s">
        <v>1800</v>
      </c>
      <c r="G196" s="140" t="s">
        <v>1801</v>
      </c>
      <c r="H196" s="140"/>
      <c r="I196" s="140" t="s">
        <v>1802</v>
      </c>
      <c r="J196" s="140" t="s">
        <v>1803</v>
      </c>
      <c r="K196" s="140" t="s">
        <v>2100</v>
      </c>
    </row>
    <row r="197" spans="1:11" x14ac:dyDescent="0.25">
      <c r="A197" s="140" t="s">
        <v>2098</v>
      </c>
      <c r="B197" s="141">
        <v>15026</v>
      </c>
      <c r="C197" s="140" t="s">
        <v>1798</v>
      </c>
      <c r="D197" s="142">
        <v>85246.99</v>
      </c>
      <c r="E197" s="140" t="s">
        <v>1812</v>
      </c>
      <c r="F197" s="140" t="s">
        <v>1800</v>
      </c>
      <c r="G197" s="140" t="s">
        <v>1801</v>
      </c>
      <c r="H197" s="140"/>
      <c r="I197" s="140" t="s">
        <v>1802</v>
      </c>
      <c r="J197" s="140" t="s">
        <v>1803</v>
      </c>
      <c r="K197" s="140" t="s">
        <v>2101</v>
      </c>
    </row>
    <row r="198" spans="1:11" x14ac:dyDescent="0.25">
      <c r="A198" s="140" t="s">
        <v>2098</v>
      </c>
      <c r="B198" s="141">
        <v>15025</v>
      </c>
      <c r="C198" s="140" t="s">
        <v>1798</v>
      </c>
      <c r="D198" s="142">
        <v>67307.520000000004</v>
      </c>
      <c r="E198" s="140" t="s">
        <v>1799</v>
      </c>
      <c r="F198" s="140" t="s">
        <v>1800</v>
      </c>
      <c r="G198" s="140" t="s">
        <v>1801</v>
      </c>
      <c r="H198" s="140"/>
      <c r="I198" s="140" t="s">
        <v>1802</v>
      </c>
      <c r="J198" s="140" t="s">
        <v>1803</v>
      </c>
      <c r="K198" s="140" t="s">
        <v>2102</v>
      </c>
    </row>
    <row r="199" spans="1:11" x14ac:dyDescent="0.25">
      <c r="A199" s="140" t="s">
        <v>2103</v>
      </c>
      <c r="B199" s="141">
        <v>15080</v>
      </c>
      <c r="C199" s="140" t="s">
        <v>1798</v>
      </c>
      <c r="D199" s="142">
        <v>559930.02</v>
      </c>
      <c r="E199" s="140" t="s">
        <v>1799</v>
      </c>
      <c r="F199" s="140" t="s">
        <v>1800</v>
      </c>
      <c r="G199" s="140" t="s">
        <v>1801</v>
      </c>
      <c r="H199" s="140"/>
      <c r="I199" s="140" t="s">
        <v>1802</v>
      </c>
      <c r="J199" s="140" t="s">
        <v>1803</v>
      </c>
      <c r="K199" s="140" t="s">
        <v>2104</v>
      </c>
    </row>
    <row r="200" spans="1:11" x14ac:dyDescent="0.25">
      <c r="A200" s="140" t="s">
        <v>2103</v>
      </c>
      <c r="B200" s="141">
        <v>15084</v>
      </c>
      <c r="C200" s="140" t="s">
        <v>1798</v>
      </c>
      <c r="D200" s="142">
        <v>105542.43</v>
      </c>
      <c r="E200" s="140" t="s">
        <v>1812</v>
      </c>
      <c r="F200" s="140" t="s">
        <v>1800</v>
      </c>
      <c r="G200" s="140" t="s">
        <v>1801</v>
      </c>
      <c r="H200" s="140"/>
      <c r="I200" s="140" t="s">
        <v>1802</v>
      </c>
      <c r="J200" s="140" t="s">
        <v>1803</v>
      </c>
      <c r="K200" s="140" t="s">
        <v>2105</v>
      </c>
    </row>
    <row r="201" spans="1:11" x14ac:dyDescent="0.25">
      <c r="A201" s="140" t="s">
        <v>2106</v>
      </c>
      <c r="B201" s="141">
        <v>15094</v>
      </c>
      <c r="C201" s="140" t="s">
        <v>1798</v>
      </c>
      <c r="D201" s="142">
        <v>115096.02</v>
      </c>
      <c r="E201" s="140" t="s">
        <v>1799</v>
      </c>
      <c r="F201" s="140" t="s">
        <v>1800</v>
      </c>
      <c r="G201" s="140" t="s">
        <v>1801</v>
      </c>
      <c r="H201" s="140"/>
      <c r="I201" s="140" t="s">
        <v>1802</v>
      </c>
      <c r="J201" s="140" t="s">
        <v>1803</v>
      </c>
      <c r="K201" s="140" t="s">
        <v>2107</v>
      </c>
    </row>
    <row r="202" spans="1:11" x14ac:dyDescent="0.25">
      <c r="A202" s="140" t="s">
        <v>2106</v>
      </c>
      <c r="B202" s="141">
        <v>15095</v>
      </c>
      <c r="C202" s="140" t="s">
        <v>1798</v>
      </c>
      <c r="D202" s="142">
        <v>198662.01</v>
      </c>
      <c r="E202" s="140" t="s">
        <v>1799</v>
      </c>
      <c r="F202" s="140" t="s">
        <v>1800</v>
      </c>
      <c r="G202" s="140" t="s">
        <v>1801</v>
      </c>
      <c r="H202" s="140"/>
      <c r="I202" s="140" t="s">
        <v>1802</v>
      </c>
      <c r="J202" s="140" t="s">
        <v>1803</v>
      </c>
      <c r="K202" s="140" t="s">
        <v>2108</v>
      </c>
    </row>
    <row r="203" spans="1:11" x14ac:dyDescent="0.25">
      <c r="A203" s="140" t="s">
        <v>2106</v>
      </c>
      <c r="B203" s="141">
        <v>15096</v>
      </c>
      <c r="C203" s="140" t="s">
        <v>1798</v>
      </c>
      <c r="D203" s="142">
        <v>227939.5</v>
      </c>
      <c r="E203" s="140" t="s">
        <v>1799</v>
      </c>
      <c r="F203" s="140" t="s">
        <v>1800</v>
      </c>
      <c r="G203" s="140" t="s">
        <v>1801</v>
      </c>
      <c r="H203" s="140"/>
      <c r="I203" s="140" t="s">
        <v>1802</v>
      </c>
      <c r="J203" s="140" t="s">
        <v>1803</v>
      </c>
      <c r="K203" s="140" t="s">
        <v>2109</v>
      </c>
    </row>
    <row r="204" spans="1:11" x14ac:dyDescent="0.25">
      <c r="A204" s="140" t="s">
        <v>2110</v>
      </c>
      <c r="B204" s="141">
        <v>15102</v>
      </c>
      <c r="C204" s="140" t="s">
        <v>1798</v>
      </c>
      <c r="D204" s="142">
        <v>470899.09</v>
      </c>
      <c r="E204" s="140" t="s">
        <v>1812</v>
      </c>
      <c r="F204" s="140" t="s">
        <v>1800</v>
      </c>
      <c r="G204" s="140" t="s">
        <v>1801</v>
      </c>
      <c r="H204" s="140"/>
      <c r="I204" s="140" t="s">
        <v>1802</v>
      </c>
      <c r="J204" s="140" t="s">
        <v>1803</v>
      </c>
      <c r="K204" s="140" t="s">
        <v>2111</v>
      </c>
    </row>
    <row r="205" spans="1:11" x14ac:dyDescent="0.25">
      <c r="A205" s="140" t="s">
        <v>2110</v>
      </c>
      <c r="B205" s="141">
        <v>15103</v>
      </c>
      <c r="C205" s="140" t="s">
        <v>1798</v>
      </c>
      <c r="D205" s="142">
        <v>126432.79</v>
      </c>
      <c r="E205" s="140" t="s">
        <v>1812</v>
      </c>
      <c r="F205" s="140" t="s">
        <v>1800</v>
      </c>
      <c r="G205" s="140" t="s">
        <v>1801</v>
      </c>
      <c r="H205" s="140"/>
      <c r="I205" s="140" t="s">
        <v>1802</v>
      </c>
      <c r="J205" s="140" t="s">
        <v>1803</v>
      </c>
      <c r="K205" s="140" t="s">
        <v>2112</v>
      </c>
    </row>
    <row r="206" spans="1:11" x14ac:dyDescent="0.25">
      <c r="A206" s="140" t="s">
        <v>2113</v>
      </c>
      <c r="B206" s="141">
        <v>15132</v>
      </c>
      <c r="C206" s="140" t="s">
        <v>1798</v>
      </c>
      <c r="D206" s="142">
        <v>440879.44</v>
      </c>
      <c r="E206" s="140" t="s">
        <v>1799</v>
      </c>
      <c r="F206" s="140" t="s">
        <v>1800</v>
      </c>
      <c r="G206" s="140" t="s">
        <v>1801</v>
      </c>
      <c r="H206" s="140"/>
      <c r="I206" s="140" t="s">
        <v>1802</v>
      </c>
      <c r="J206" s="140" t="s">
        <v>1803</v>
      </c>
      <c r="K206" s="140" t="s">
        <v>2114</v>
      </c>
    </row>
    <row r="207" spans="1:11" x14ac:dyDescent="0.25">
      <c r="A207" s="140" t="s">
        <v>2113</v>
      </c>
      <c r="B207" s="141">
        <v>15133</v>
      </c>
      <c r="C207" s="140" t="s">
        <v>1798</v>
      </c>
      <c r="D207" s="142">
        <v>104126.98</v>
      </c>
      <c r="E207" s="140" t="s">
        <v>1799</v>
      </c>
      <c r="F207" s="140" t="s">
        <v>1800</v>
      </c>
      <c r="G207" s="140" t="s">
        <v>1801</v>
      </c>
      <c r="H207" s="140"/>
      <c r="I207" s="140" t="s">
        <v>1802</v>
      </c>
      <c r="J207" s="140" t="s">
        <v>1803</v>
      </c>
      <c r="K207" s="140" t="s">
        <v>2115</v>
      </c>
    </row>
    <row r="208" spans="1:11" x14ac:dyDescent="0.25">
      <c r="A208" s="140" t="s">
        <v>2116</v>
      </c>
      <c r="B208" s="141">
        <v>15180</v>
      </c>
      <c r="C208" s="140" t="s">
        <v>1798</v>
      </c>
      <c r="D208" s="142">
        <v>322788.44</v>
      </c>
      <c r="E208" s="140" t="s">
        <v>1799</v>
      </c>
      <c r="F208" s="140" t="s">
        <v>1800</v>
      </c>
      <c r="G208" s="140" t="s">
        <v>1801</v>
      </c>
      <c r="H208" s="140"/>
      <c r="I208" s="140" t="s">
        <v>1802</v>
      </c>
      <c r="J208" s="140" t="s">
        <v>1803</v>
      </c>
      <c r="K208" s="140" t="s">
        <v>2117</v>
      </c>
    </row>
    <row r="209" spans="1:11" x14ac:dyDescent="0.25">
      <c r="A209" s="140" t="s">
        <v>2116</v>
      </c>
      <c r="B209" s="141">
        <v>15181</v>
      </c>
      <c r="C209" s="140" t="s">
        <v>1798</v>
      </c>
      <c r="D209" s="142">
        <v>303256.62</v>
      </c>
      <c r="E209" s="140" t="s">
        <v>1799</v>
      </c>
      <c r="F209" s="140" t="s">
        <v>1800</v>
      </c>
      <c r="G209" s="140" t="s">
        <v>1801</v>
      </c>
      <c r="H209" s="140"/>
      <c r="I209" s="140" t="s">
        <v>1802</v>
      </c>
      <c r="J209" s="140" t="s">
        <v>1803</v>
      </c>
      <c r="K209" s="140" t="s">
        <v>2118</v>
      </c>
    </row>
    <row r="210" spans="1:11" x14ac:dyDescent="0.25">
      <c r="A210" s="140" t="s">
        <v>2116</v>
      </c>
      <c r="B210" s="141">
        <v>15182</v>
      </c>
      <c r="C210" s="140" t="s">
        <v>1798</v>
      </c>
      <c r="D210" s="142">
        <v>131260.10999999999</v>
      </c>
      <c r="E210" s="140" t="s">
        <v>1799</v>
      </c>
      <c r="F210" s="140" t="s">
        <v>1800</v>
      </c>
      <c r="G210" s="140" t="s">
        <v>1801</v>
      </c>
      <c r="H210" s="140"/>
      <c r="I210" s="140" t="s">
        <v>1802</v>
      </c>
      <c r="J210" s="140" t="s">
        <v>1803</v>
      </c>
      <c r="K210" s="140" t="s">
        <v>2119</v>
      </c>
    </row>
    <row r="211" spans="1:11" x14ac:dyDescent="0.25">
      <c r="A211" s="140" t="s">
        <v>2116</v>
      </c>
      <c r="B211" s="141">
        <v>15236</v>
      </c>
      <c r="C211" s="140" t="s">
        <v>1798</v>
      </c>
      <c r="D211" s="142">
        <v>157345.85999999999</v>
      </c>
      <c r="E211" s="140" t="s">
        <v>1812</v>
      </c>
      <c r="F211" s="140" t="s">
        <v>1800</v>
      </c>
      <c r="G211" s="140" t="s">
        <v>1801</v>
      </c>
      <c r="H211" s="140"/>
      <c r="I211" s="140" t="s">
        <v>1802</v>
      </c>
      <c r="J211" s="140" t="s">
        <v>1803</v>
      </c>
      <c r="K211" s="140" t="s">
        <v>2120</v>
      </c>
    </row>
    <row r="212" spans="1:11" x14ac:dyDescent="0.25">
      <c r="A212" s="140" t="s">
        <v>2116</v>
      </c>
      <c r="B212" s="141">
        <v>15248</v>
      </c>
      <c r="C212" s="140" t="s">
        <v>1798</v>
      </c>
      <c r="D212" s="142">
        <v>161023.67999999999</v>
      </c>
      <c r="E212" s="140" t="s">
        <v>1799</v>
      </c>
      <c r="F212" s="140" t="s">
        <v>1800</v>
      </c>
      <c r="G212" s="140" t="s">
        <v>1801</v>
      </c>
      <c r="H212" s="140"/>
      <c r="I212" s="140" t="s">
        <v>1802</v>
      </c>
      <c r="J212" s="140" t="s">
        <v>1803</v>
      </c>
      <c r="K212" s="140" t="s">
        <v>2121</v>
      </c>
    </row>
    <row r="213" spans="1:11" x14ac:dyDescent="0.25">
      <c r="A213" s="140" t="s">
        <v>2116</v>
      </c>
      <c r="B213" s="141">
        <v>15249</v>
      </c>
      <c r="C213" s="140" t="s">
        <v>1798</v>
      </c>
      <c r="D213" s="142">
        <v>71372.5</v>
      </c>
      <c r="E213" s="140" t="s">
        <v>1799</v>
      </c>
      <c r="F213" s="140" t="s">
        <v>1800</v>
      </c>
      <c r="G213" s="140" t="s">
        <v>1801</v>
      </c>
      <c r="H213" s="140"/>
      <c r="I213" s="140" t="s">
        <v>1802</v>
      </c>
      <c r="J213" s="140" t="s">
        <v>1803</v>
      </c>
      <c r="K213" s="140" t="s">
        <v>2122</v>
      </c>
    </row>
    <row r="214" spans="1:11" x14ac:dyDescent="0.25">
      <c r="A214" s="140" t="s">
        <v>2116</v>
      </c>
      <c r="B214" s="141">
        <v>15256</v>
      </c>
      <c r="C214" s="140" t="s">
        <v>1798</v>
      </c>
      <c r="D214" s="142">
        <v>286624.73</v>
      </c>
      <c r="E214" s="140" t="s">
        <v>1799</v>
      </c>
      <c r="F214" s="140" t="s">
        <v>1800</v>
      </c>
      <c r="G214" s="140" t="s">
        <v>1801</v>
      </c>
      <c r="H214" s="140"/>
      <c r="I214" s="140" t="s">
        <v>1802</v>
      </c>
      <c r="J214" s="140" t="s">
        <v>1803</v>
      </c>
      <c r="K214" s="140" t="s">
        <v>2123</v>
      </c>
    </row>
    <row r="215" spans="1:11" x14ac:dyDescent="0.25">
      <c r="A215" s="140" t="s">
        <v>2116</v>
      </c>
      <c r="B215" s="141">
        <v>15257</v>
      </c>
      <c r="C215" s="140" t="s">
        <v>1798</v>
      </c>
      <c r="D215" s="142">
        <v>113477.5</v>
      </c>
      <c r="E215" s="140" t="s">
        <v>1799</v>
      </c>
      <c r="F215" s="140" t="s">
        <v>1800</v>
      </c>
      <c r="G215" s="140" t="s">
        <v>1801</v>
      </c>
      <c r="H215" s="140"/>
      <c r="I215" s="140" t="s">
        <v>1802</v>
      </c>
      <c r="J215" s="140" t="s">
        <v>1803</v>
      </c>
      <c r="K215" s="140" t="s">
        <v>2124</v>
      </c>
    </row>
    <row r="216" spans="1:11" x14ac:dyDescent="0.25">
      <c r="A216" s="140" t="s">
        <v>2116</v>
      </c>
      <c r="B216" s="141">
        <v>15258</v>
      </c>
      <c r="C216" s="140" t="s">
        <v>1798</v>
      </c>
      <c r="D216" s="142">
        <v>130955.65</v>
      </c>
      <c r="E216" s="140" t="s">
        <v>1799</v>
      </c>
      <c r="F216" s="140" t="s">
        <v>1800</v>
      </c>
      <c r="G216" s="140" t="s">
        <v>1801</v>
      </c>
      <c r="H216" s="140"/>
      <c r="I216" s="140" t="s">
        <v>1802</v>
      </c>
      <c r="J216" s="140" t="s">
        <v>1803</v>
      </c>
      <c r="K216" s="140" t="s">
        <v>2125</v>
      </c>
    </row>
    <row r="217" spans="1:11" x14ac:dyDescent="0.25">
      <c r="A217" s="140" t="s">
        <v>2116</v>
      </c>
      <c r="B217" s="141">
        <v>15259</v>
      </c>
      <c r="C217" s="140" t="s">
        <v>1798</v>
      </c>
      <c r="D217" s="142">
        <v>127443.21</v>
      </c>
      <c r="E217" s="140" t="s">
        <v>1799</v>
      </c>
      <c r="F217" s="140" t="s">
        <v>1800</v>
      </c>
      <c r="G217" s="140" t="s">
        <v>1801</v>
      </c>
      <c r="H217" s="140"/>
      <c r="I217" s="140" t="s">
        <v>1802</v>
      </c>
      <c r="J217" s="140" t="s">
        <v>1803</v>
      </c>
      <c r="K217" s="140" t="s">
        <v>2126</v>
      </c>
    </row>
    <row r="218" spans="1:11" x14ac:dyDescent="0.25">
      <c r="A218" s="140" t="s">
        <v>2127</v>
      </c>
      <c r="B218" s="141">
        <v>15352</v>
      </c>
      <c r="C218" s="140" t="s">
        <v>1798</v>
      </c>
      <c r="D218" s="142">
        <v>314653.59999999998</v>
      </c>
      <c r="E218" s="140" t="s">
        <v>1799</v>
      </c>
      <c r="F218" s="140" t="s">
        <v>1800</v>
      </c>
      <c r="G218" s="140" t="s">
        <v>1801</v>
      </c>
      <c r="H218" s="140"/>
      <c r="I218" s="140" t="s">
        <v>1802</v>
      </c>
      <c r="J218" s="140" t="s">
        <v>1803</v>
      </c>
      <c r="K218" s="140" t="s">
        <v>2128</v>
      </c>
    </row>
    <row r="219" spans="1:11" x14ac:dyDescent="0.25">
      <c r="A219" s="140" t="s">
        <v>2127</v>
      </c>
      <c r="B219" s="141">
        <v>15353</v>
      </c>
      <c r="C219" s="140" t="s">
        <v>1798</v>
      </c>
      <c r="D219" s="142">
        <v>134270.93</v>
      </c>
      <c r="E219" s="140" t="s">
        <v>1799</v>
      </c>
      <c r="F219" s="140" t="s">
        <v>1800</v>
      </c>
      <c r="G219" s="140" t="s">
        <v>1801</v>
      </c>
      <c r="H219" s="140"/>
      <c r="I219" s="140" t="s">
        <v>1802</v>
      </c>
      <c r="J219" s="140" t="s">
        <v>1803</v>
      </c>
      <c r="K219" s="140" t="s">
        <v>2129</v>
      </c>
    </row>
    <row r="220" spans="1:11" x14ac:dyDescent="0.25">
      <c r="A220" s="140" t="s">
        <v>2127</v>
      </c>
      <c r="B220" s="141">
        <v>15354</v>
      </c>
      <c r="C220" s="140" t="s">
        <v>1798</v>
      </c>
      <c r="D220" s="142">
        <v>135470.95000000001</v>
      </c>
      <c r="E220" s="140" t="s">
        <v>1799</v>
      </c>
      <c r="F220" s="140" t="s">
        <v>1800</v>
      </c>
      <c r="G220" s="140" t="s">
        <v>1801</v>
      </c>
      <c r="H220" s="140"/>
      <c r="I220" s="140" t="s">
        <v>1802</v>
      </c>
      <c r="J220" s="140" t="s">
        <v>1803</v>
      </c>
      <c r="K220" s="140" t="s">
        <v>2130</v>
      </c>
    </row>
    <row r="221" spans="1:11" x14ac:dyDescent="0.25">
      <c r="A221" s="140" t="s">
        <v>2127</v>
      </c>
      <c r="B221" s="141">
        <v>15355</v>
      </c>
      <c r="C221" s="140" t="s">
        <v>1798</v>
      </c>
      <c r="D221" s="142">
        <v>131374.26</v>
      </c>
      <c r="E221" s="140" t="s">
        <v>1799</v>
      </c>
      <c r="F221" s="140" t="s">
        <v>1800</v>
      </c>
      <c r="G221" s="140" t="s">
        <v>1801</v>
      </c>
      <c r="H221" s="140"/>
      <c r="I221" s="140" t="s">
        <v>1802</v>
      </c>
      <c r="J221" s="140" t="s">
        <v>1803</v>
      </c>
      <c r="K221" s="140" t="s">
        <v>2131</v>
      </c>
    </row>
    <row r="222" spans="1:11" x14ac:dyDescent="0.25">
      <c r="A222" s="140" t="s">
        <v>2127</v>
      </c>
      <c r="B222" s="141">
        <v>15356</v>
      </c>
      <c r="C222" s="140" t="s">
        <v>1798</v>
      </c>
      <c r="D222" s="142">
        <v>138342.07</v>
      </c>
      <c r="E222" s="140" t="s">
        <v>1799</v>
      </c>
      <c r="F222" s="140" t="s">
        <v>1800</v>
      </c>
      <c r="G222" s="140" t="s">
        <v>1801</v>
      </c>
      <c r="H222" s="140"/>
      <c r="I222" s="140" t="s">
        <v>1802</v>
      </c>
      <c r="J222" s="140" t="s">
        <v>1803</v>
      </c>
      <c r="K222" s="140" t="s">
        <v>2132</v>
      </c>
    </row>
    <row r="223" spans="1:11" x14ac:dyDescent="0.25">
      <c r="A223" s="140" t="s">
        <v>2127</v>
      </c>
      <c r="B223" s="141">
        <v>15357</v>
      </c>
      <c r="C223" s="140" t="s">
        <v>1798</v>
      </c>
      <c r="D223" s="142">
        <v>87693.9</v>
      </c>
      <c r="E223" s="140" t="s">
        <v>1799</v>
      </c>
      <c r="F223" s="140" t="s">
        <v>1800</v>
      </c>
      <c r="G223" s="140" t="s">
        <v>1801</v>
      </c>
      <c r="H223" s="140"/>
      <c r="I223" s="140" t="s">
        <v>1802</v>
      </c>
      <c r="J223" s="140" t="s">
        <v>1803</v>
      </c>
      <c r="K223" s="140" t="s">
        <v>2133</v>
      </c>
    </row>
    <row r="224" spans="1:11" x14ac:dyDescent="0.25">
      <c r="A224" s="140" t="s">
        <v>2127</v>
      </c>
      <c r="B224" s="141">
        <v>15373</v>
      </c>
      <c r="C224" s="140" t="s">
        <v>1798</v>
      </c>
      <c r="D224" s="142">
        <v>249487.44</v>
      </c>
      <c r="E224" s="140" t="s">
        <v>1799</v>
      </c>
      <c r="F224" s="140" t="s">
        <v>1800</v>
      </c>
      <c r="G224" s="140" t="s">
        <v>1801</v>
      </c>
      <c r="H224" s="140"/>
      <c r="I224" s="140" t="s">
        <v>1802</v>
      </c>
      <c r="J224" s="140" t="s">
        <v>1803</v>
      </c>
      <c r="K224" s="140" t="s">
        <v>2134</v>
      </c>
    </row>
    <row r="225" spans="1:11" x14ac:dyDescent="0.25">
      <c r="A225" s="140" t="s">
        <v>2127</v>
      </c>
      <c r="B225" s="141">
        <v>15374</v>
      </c>
      <c r="C225" s="140" t="s">
        <v>1798</v>
      </c>
      <c r="D225" s="142">
        <v>98012.73</v>
      </c>
      <c r="E225" s="140" t="s">
        <v>1799</v>
      </c>
      <c r="F225" s="140" t="s">
        <v>1800</v>
      </c>
      <c r="G225" s="140" t="s">
        <v>1801</v>
      </c>
      <c r="H225" s="140"/>
      <c r="I225" s="140" t="s">
        <v>1802</v>
      </c>
      <c r="J225" s="140" t="s">
        <v>1803</v>
      </c>
      <c r="K225" s="140" t="s">
        <v>2135</v>
      </c>
    </row>
    <row r="226" spans="1:11" x14ac:dyDescent="0.25">
      <c r="A226" s="140" t="s">
        <v>2136</v>
      </c>
      <c r="B226" s="141">
        <v>15414</v>
      </c>
      <c r="C226" s="140" t="s">
        <v>1798</v>
      </c>
      <c r="D226" s="142">
        <v>167302.32</v>
      </c>
      <c r="E226" s="140" t="s">
        <v>1799</v>
      </c>
      <c r="F226" s="140" t="s">
        <v>1800</v>
      </c>
      <c r="G226" s="140" t="s">
        <v>1801</v>
      </c>
      <c r="H226" s="140"/>
      <c r="I226" s="140" t="s">
        <v>1802</v>
      </c>
      <c r="J226" s="140" t="s">
        <v>1803</v>
      </c>
      <c r="K226" s="140" t="s">
        <v>2137</v>
      </c>
    </row>
    <row r="227" spans="1:11" x14ac:dyDescent="0.25">
      <c r="A227" s="140" t="s">
        <v>2136</v>
      </c>
      <c r="B227" s="141">
        <v>15415</v>
      </c>
      <c r="C227" s="140" t="s">
        <v>1798</v>
      </c>
      <c r="D227" s="142">
        <v>326730.71000000002</v>
      </c>
      <c r="E227" s="140" t="s">
        <v>1799</v>
      </c>
      <c r="F227" s="140" t="s">
        <v>1800</v>
      </c>
      <c r="G227" s="140" t="s">
        <v>1801</v>
      </c>
      <c r="H227" s="140"/>
      <c r="I227" s="140" t="s">
        <v>1802</v>
      </c>
      <c r="J227" s="140" t="s">
        <v>1803</v>
      </c>
      <c r="K227" s="140" t="s">
        <v>2138</v>
      </c>
    </row>
    <row r="228" spans="1:11" x14ac:dyDescent="0.25">
      <c r="A228" s="140" t="s">
        <v>2136</v>
      </c>
      <c r="B228" s="141">
        <v>15416</v>
      </c>
      <c r="C228" s="140" t="s">
        <v>1798</v>
      </c>
      <c r="D228" s="142">
        <v>452823.4</v>
      </c>
      <c r="E228" s="140" t="s">
        <v>1799</v>
      </c>
      <c r="F228" s="140" t="s">
        <v>1800</v>
      </c>
      <c r="G228" s="140" t="s">
        <v>1801</v>
      </c>
      <c r="H228" s="140"/>
      <c r="I228" s="140" t="s">
        <v>1802</v>
      </c>
      <c r="J228" s="140" t="s">
        <v>1803</v>
      </c>
      <c r="K228" s="140" t="s">
        <v>2139</v>
      </c>
    </row>
    <row r="229" spans="1:11" x14ac:dyDescent="0.25">
      <c r="A229" s="140" t="s">
        <v>2136</v>
      </c>
      <c r="B229" s="141">
        <v>15417</v>
      </c>
      <c r="C229" s="140" t="s">
        <v>1798</v>
      </c>
      <c r="D229" s="142">
        <v>640036.62</v>
      </c>
      <c r="E229" s="140" t="s">
        <v>1799</v>
      </c>
      <c r="F229" s="140" t="s">
        <v>1800</v>
      </c>
      <c r="G229" s="140" t="s">
        <v>1801</v>
      </c>
      <c r="H229" s="140"/>
      <c r="I229" s="140" t="s">
        <v>1802</v>
      </c>
      <c r="J229" s="140" t="s">
        <v>1803</v>
      </c>
      <c r="K229" s="140" t="s">
        <v>2140</v>
      </c>
    </row>
    <row r="230" spans="1:11" x14ac:dyDescent="0.25">
      <c r="A230" s="140" t="s">
        <v>2136</v>
      </c>
      <c r="B230" s="141">
        <v>15418</v>
      </c>
      <c r="C230" s="140" t="s">
        <v>1798</v>
      </c>
      <c r="D230" s="142">
        <v>731640.31</v>
      </c>
      <c r="E230" s="140" t="s">
        <v>1799</v>
      </c>
      <c r="F230" s="140" t="s">
        <v>1800</v>
      </c>
      <c r="G230" s="140" t="s">
        <v>1801</v>
      </c>
      <c r="H230" s="140"/>
      <c r="I230" s="140" t="s">
        <v>1802</v>
      </c>
      <c r="J230" s="140" t="s">
        <v>1803</v>
      </c>
      <c r="K230" s="140" t="s">
        <v>2141</v>
      </c>
    </row>
    <row r="231" spans="1:11" x14ac:dyDescent="0.25">
      <c r="A231" s="140" t="s">
        <v>2136</v>
      </c>
      <c r="B231" s="141">
        <v>15419</v>
      </c>
      <c r="C231" s="140" t="s">
        <v>1798</v>
      </c>
      <c r="D231" s="142">
        <v>61971.360000000001</v>
      </c>
      <c r="E231" s="140" t="s">
        <v>1799</v>
      </c>
      <c r="F231" s="140" t="s">
        <v>1800</v>
      </c>
      <c r="G231" s="140" t="s">
        <v>1801</v>
      </c>
      <c r="H231" s="140"/>
      <c r="I231" s="140" t="s">
        <v>1802</v>
      </c>
      <c r="J231" s="140" t="s">
        <v>1803</v>
      </c>
      <c r="K231" s="140" t="s">
        <v>2142</v>
      </c>
    </row>
    <row r="232" spans="1:11" x14ac:dyDescent="0.25">
      <c r="A232" s="140" t="s">
        <v>2136</v>
      </c>
      <c r="B232" s="141">
        <v>15420</v>
      </c>
      <c r="C232" s="140" t="s">
        <v>1798</v>
      </c>
      <c r="D232" s="142">
        <v>119978.72</v>
      </c>
      <c r="E232" s="140" t="s">
        <v>1799</v>
      </c>
      <c r="F232" s="140" t="s">
        <v>1800</v>
      </c>
      <c r="G232" s="140" t="s">
        <v>1801</v>
      </c>
      <c r="H232" s="140"/>
      <c r="I232" s="140" t="s">
        <v>1802</v>
      </c>
      <c r="J232" s="140" t="s">
        <v>1803</v>
      </c>
      <c r="K232" s="140" t="s">
        <v>2143</v>
      </c>
    </row>
    <row r="233" spans="1:11" x14ac:dyDescent="0.25">
      <c r="A233" s="140" t="s">
        <v>2136</v>
      </c>
      <c r="B233" s="141">
        <v>15421</v>
      </c>
      <c r="C233" s="140" t="s">
        <v>1798</v>
      </c>
      <c r="D233" s="142">
        <v>115000.51</v>
      </c>
      <c r="E233" s="140" t="s">
        <v>1799</v>
      </c>
      <c r="F233" s="140" t="s">
        <v>1800</v>
      </c>
      <c r="G233" s="140" t="s">
        <v>1801</v>
      </c>
      <c r="H233" s="140"/>
      <c r="I233" s="140" t="s">
        <v>1802</v>
      </c>
      <c r="J233" s="140" t="s">
        <v>1803</v>
      </c>
      <c r="K233" s="140" t="s">
        <v>2144</v>
      </c>
    </row>
    <row r="234" spans="1:11" x14ac:dyDescent="0.25">
      <c r="A234" s="140" t="s">
        <v>2145</v>
      </c>
      <c r="B234" s="141">
        <v>15507</v>
      </c>
      <c r="C234" s="140" t="s">
        <v>1798</v>
      </c>
      <c r="D234" s="142">
        <v>514397.74</v>
      </c>
      <c r="E234" s="140" t="s">
        <v>1812</v>
      </c>
      <c r="F234" s="140" t="s">
        <v>1800</v>
      </c>
      <c r="G234" s="140" t="s">
        <v>1801</v>
      </c>
      <c r="H234" s="140"/>
      <c r="I234" s="140" t="s">
        <v>1802</v>
      </c>
      <c r="J234" s="140" t="s">
        <v>1803</v>
      </c>
      <c r="K234" s="140" t="s">
        <v>2146</v>
      </c>
    </row>
    <row r="235" spans="1:11" x14ac:dyDescent="0.25">
      <c r="A235" s="140" t="s">
        <v>2145</v>
      </c>
      <c r="B235" s="141">
        <v>15508</v>
      </c>
      <c r="C235" s="140" t="s">
        <v>1798</v>
      </c>
      <c r="D235" s="142">
        <v>410834.46</v>
      </c>
      <c r="E235" s="140" t="s">
        <v>1812</v>
      </c>
      <c r="F235" s="140" t="s">
        <v>1800</v>
      </c>
      <c r="G235" s="140" t="s">
        <v>1801</v>
      </c>
      <c r="H235" s="140"/>
      <c r="I235" s="140" t="s">
        <v>1802</v>
      </c>
      <c r="J235" s="140" t="s">
        <v>1803</v>
      </c>
      <c r="K235" s="140" t="s">
        <v>2147</v>
      </c>
    </row>
    <row r="236" spans="1:11" x14ac:dyDescent="0.25">
      <c r="A236" s="140" t="s">
        <v>2145</v>
      </c>
      <c r="B236" s="141">
        <v>15509</v>
      </c>
      <c r="C236" s="140" t="s">
        <v>1798</v>
      </c>
      <c r="D236" s="142">
        <v>159383.76</v>
      </c>
      <c r="E236" s="140" t="s">
        <v>1812</v>
      </c>
      <c r="F236" s="140" t="s">
        <v>1800</v>
      </c>
      <c r="G236" s="140" t="s">
        <v>1801</v>
      </c>
      <c r="H236" s="140"/>
      <c r="I236" s="140" t="s">
        <v>1802</v>
      </c>
      <c r="J236" s="140" t="s">
        <v>1803</v>
      </c>
      <c r="K236" s="140" t="s">
        <v>2148</v>
      </c>
    </row>
    <row r="237" spans="1:11" x14ac:dyDescent="0.25">
      <c r="A237" s="140" t="s">
        <v>2145</v>
      </c>
      <c r="B237" s="141">
        <v>15510</v>
      </c>
      <c r="C237" s="140" t="s">
        <v>1798</v>
      </c>
      <c r="D237" s="142">
        <v>153767.6</v>
      </c>
      <c r="E237" s="140" t="s">
        <v>1812</v>
      </c>
      <c r="F237" s="140" t="s">
        <v>1800</v>
      </c>
      <c r="G237" s="140" t="s">
        <v>1801</v>
      </c>
      <c r="H237" s="140"/>
      <c r="I237" s="140" t="s">
        <v>1802</v>
      </c>
      <c r="J237" s="140" t="s">
        <v>1803</v>
      </c>
      <c r="K237" s="140" t="s">
        <v>2149</v>
      </c>
    </row>
    <row r="238" spans="1:11" x14ac:dyDescent="0.25">
      <c r="A238" s="140" t="s">
        <v>2150</v>
      </c>
      <c r="B238" s="141">
        <v>15620</v>
      </c>
      <c r="C238" s="140" t="s">
        <v>1798</v>
      </c>
      <c r="D238" s="142">
        <v>139364.10999999999</v>
      </c>
      <c r="E238" s="140" t="s">
        <v>1812</v>
      </c>
      <c r="F238" s="140" t="s">
        <v>1800</v>
      </c>
      <c r="G238" s="140" t="s">
        <v>1801</v>
      </c>
      <c r="H238" s="140"/>
      <c r="I238" s="140" t="s">
        <v>1802</v>
      </c>
      <c r="J238" s="140" t="s">
        <v>1803</v>
      </c>
      <c r="K238" s="140" t="s">
        <v>2151</v>
      </c>
    </row>
    <row r="239" spans="1:11" x14ac:dyDescent="0.25">
      <c r="A239" s="140" t="s">
        <v>2150</v>
      </c>
      <c r="B239" s="141">
        <v>15621</v>
      </c>
      <c r="C239" s="140" t="s">
        <v>1798</v>
      </c>
      <c r="D239" s="142">
        <v>421692.25</v>
      </c>
      <c r="E239" s="140" t="s">
        <v>1812</v>
      </c>
      <c r="F239" s="140" t="s">
        <v>1800</v>
      </c>
      <c r="G239" s="140" t="s">
        <v>1801</v>
      </c>
      <c r="H239" s="140"/>
      <c r="I239" s="140" t="s">
        <v>1802</v>
      </c>
      <c r="J239" s="140" t="s">
        <v>1803</v>
      </c>
      <c r="K239" s="140" t="s">
        <v>2152</v>
      </c>
    </row>
    <row r="240" spans="1:11" x14ac:dyDescent="0.25">
      <c r="A240" s="140" t="s">
        <v>2150</v>
      </c>
      <c r="B240" s="141">
        <v>15646</v>
      </c>
      <c r="C240" s="140" t="s">
        <v>1798</v>
      </c>
      <c r="D240" s="142">
        <v>180356.35</v>
      </c>
      <c r="E240" s="140" t="s">
        <v>1799</v>
      </c>
      <c r="F240" s="140" t="s">
        <v>1800</v>
      </c>
      <c r="G240" s="140" t="s">
        <v>1801</v>
      </c>
      <c r="H240" s="140"/>
      <c r="I240" s="140" t="s">
        <v>1802</v>
      </c>
      <c r="J240" s="140" t="s">
        <v>1803</v>
      </c>
      <c r="K240" s="140" t="s">
        <v>2153</v>
      </c>
    </row>
    <row r="241" spans="1:11" x14ac:dyDescent="0.25">
      <c r="A241" s="140" t="s">
        <v>2154</v>
      </c>
      <c r="B241" s="141">
        <v>15662</v>
      </c>
      <c r="C241" s="140" t="s">
        <v>1798</v>
      </c>
      <c r="D241" s="142">
        <v>177111.56</v>
      </c>
      <c r="E241" s="140" t="s">
        <v>1812</v>
      </c>
      <c r="F241" s="140" t="s">
        <v>1800</v>
      </c>
      <c r="G241" s="140" t="s">
        <v>1801</v>
      </c>
      <c r="H241" s="140"/>
      <c r="I241" s="140" t="s">
        <v>1802</v>
      </c>
      <c r="J241" s="140" t="s">
        <v>1803</v>
      </c>
      <c r="K241" s="140" t="s">
        <v>2155</v>
      </c>
    </row>
    <row r="242" spans="1:11" x14ac:dyDescent="0.25">
      <c r="A242" s="140" t="s">
        <v>2154</v>
      </c>
      <c r="B242" s="141">
        <v>15663</v>
      </c>
      <c r="C242" s="140" t="s">
        <v>1798</v>
      </c>
      <c r="D242" s="142">
        <v>213842.43</v>
      </c>
      <c r="E242" s="140" t="s">
        <v>1812</v>
      </c>
      <c r="F242" s="140" t="s">
        <v>1800</v>
      </c>
      <c r="G242" s="140" t="s">
        <v>1801</v>
      </c>
      <c r="H242" s="140"/>
      <c r="I242" s="140" t="s">
        <v>1802</v>
      </c>
      <c r="J242" s="140" t="s">
        <v>1803</v>
      </c>
      <c r="K242" s="140" t="s">
        <v>2156</v>
      </c>
    </row>
    <row r="243" spans="1:11" x14ac:dyDescent="0.25">
      <c r="A243" s="140" t="s">
        <v>2154</v>
      </c>
      <c r="B243" s="141">
        <v>15664</v>
      </c>
      <c r="C243" s="140" t="s">
        <v>1798</v>
      </c>
      <c r="D243" s="142">
        <v>207384.77</v>
      </c>
      <c r="E243" s="140" t="s">
        <v>1812</v>
      </c>
      <c r="F243" s="140" t="s">
        <v>1800</v>
      </c>
      <c r="G243" s="140" t="s">
        <v>1801</v>
      </c>
      <c r="H243" s="140"/>
      <c r="I243" s="140" t="s">
        <v>1802</v>
      </c>
      <c r="J243" s="140" t="s">
        <v>1803</v>
      </c>
      <c r="K243" s="140" t="s">
        <v>2157</v>
      </c>
    </row>
    <row r="244" spans="1:11" x14ac:dyDescent="0.25">
      <c r="A244" s="140" t="s">
        <v>2154</v>
      </c>
      <c r="B244" s="141">
        <v>15665</v>
      </c>
      <c r="C244" s="140" t="s">
        <v>1798</v>
      </c>
      <c r="D244" s="142">
        <v>186354.49</v>
      </c>
      <c r="E244" s="140" t="s">
        <v>1812</v>
      </c>
      <c r="F244" s="140" t="s">
        <v>1800</v>
      </c>
      <c r="G244" s="140" t="s">
        <v>1801</v>
      </c>
      <c r="H244" s="140"/>
      <c r="I244" s="140" t="s">
        <v>1802</v>
      </c>
      <c r="J244" s="140" t="s">
        <v>1803</v>
      </c>
      <c r="K244" s="140" t="s">
        <v>2158</v>
      </c>
    </row>
    <row r="245" spans="1:11" x14ac:dyDescent="0.25">
      <c r="A245" s="140" t="s">
        <v>2154</v>
      </c>
      <c r="B245" s="141">
        <v>15673</v>
      </c>
      <c r="C245" s="140" t="s">
        <v>1798</v>
      </c>
      <c r="D245" s="142">
        <v>10213.48</v>
      </c>
      <c r="E245" s="140" t="s">
        <v>1799</v>
      </c>
      <c r="F245" s="140" t="s">
        <v>1800</v>
      </c>
      <c r="G245" s="140" t="s">
        <v>1801</v>
      </c>
      <c r="H245" s="140"/>
      <c r="I245" s="140" t="s">
        <v>1802</v>
      </c>
      <c r="J245" s="140" t="s">
        <v>1803</v>
      </c>
      <c r="K245" s="140" t="s">
        <v>2159</v>
      </c>
    </row>
    <row r="246" spans="1:11" x14ac:dyDescent="0.25">
      <c r="A246" s="140" t="s">
        <v>2160</v>
      </c>
      <c r="B246" s="141">
        <v>15815</v>
      </c>
      <c r="C246" s="140" t="s">
        <v>1798</v>
      </c>
      <c r="D246" s="142">
        <v>377868.85</v>
      </c>
      <c r="E246" s="140" t="s">
        <v>1799</v>
      </c>
      <c r="F246" s="140" t="s">
        <v>1800</v>
      </c>
      <c r="G246" s="140" t="s">
        <v>1801</v>
      </c>
      <c r="H246" s="140"/>
      <c r="I246" s="140" t="s">
        <v>1802</v>
      </c>
      <c r="J246" s="140" t="s">
        <v>1803</v>
      </c>
      <c r="K246" s="140" t="s">
        <v>2161</v>
      </c>
    </row>
    <row r="247" spans="1:11" x14ac:dyDescent="0.25">
      <c r="A247" s="140" t="s">
        <v>2162</v>
      </c>
      <c r="B247" s="141">
        <v>15895</v>
      </c>
      <c r="C247" s="140" t="s">
        <v>1798</v>
      </c>
      <c r="D247" s="142">
        <v>100000</v>
      </c>
      <c r="E247" s="140" t="s">
        <v>1799</v>
      </c>
      <c r="F247" s="140" t="s">
        <v>1800</v>
      </c>
      <c r="G247" s="140" t="s">
        <v>1801</v>
      </c>
      <c r="H247" s="140"/>
      <c r="I247" s="140" t="s">
        <v>1802</v>
      </c>
      <c r="J247" s="140" t="s">
        <v>1803</v>
      </c>
      <c r="K247" s="140" t="s">
        <v>2163</v>
      </c>
    </row>
    <row r="248" spans="1:11" x14ac:dyDescent="0.25">
      <c r="A248" s="140" t="s">
        <v>2162</v>
      </c>
      <c r="B248" s="141">
        <v>15896</v>
      </c>
      <c r="C248" s="140" t="s">
        <v>1798</v>
      </c>
      <c r="D248" s="142">
        <v>653838</v>
      </c>
      <c r="E248" s="140" t="s">
        <v>1799</v>
      </c>
      <c r="F248" s="140" t="s">
        <v>1800</v>
      </c>
      <c r="G248" s="140" t="s">
        <v>1801</v>
      </c>
      <c r="H248" s="140"/>
      <c r="I248" s="140" t="s">
        <v>1802</v>
      </c>
      <c r="J248" s="140" t="s">
        <v>1803</v>
      </c>
      <c r="K248" s="140" t="s">
        <v>2164</v>
      </c>
    </row>
    <row r="249" spans="1:11" x14ac:dyDescent="0.25">
      <c r="A249" s="140" t="s">
        <v>2165</v>
      </c>
      <c r="B249" s="141">
        <v>16014</v>
      </c>
      <c r="C249" s="140" t="s">
        <v>1798</v>
      </c>
      <c r="D249" s="142">
        <v>992214.92</v>
      </c>
      <c r="E249" s="140" t="s">
        <v>1799</v>
      </c>
      <c r="F249" s="140" t="s">
        <v>1800</v>
      </c>
      <c r="G249" s="140" t="s">
        <v>1801</v>
      </c>
      <c r="H249" s="140"/>
      <c r="I249" s="140" t="s">
        <v>1802</v>
      </c>
      <c r="J249" s="140" t="s">
        <v>1803</v>
      </c>
      <c r="K249" s="140" t="s">
        <v>2166</v>
      </c>
    </row>
    <row r="250" spans="1:11" x14ac:dyDescent="0.25">
      <c r="A250" s="140" t="s">
        <v>2165</v>
      </c>
      <c r="B250" s="141">
        <v>16015</v>
      </c>
      <c r="C250" s="140" t="s">
        <v>1798</v>
      </c>
      <c r="D250" s="142">
        <v>1866695.38</v>
      </c>
      <c r="E250" s="140" t="s">
        <v>1799</v>
      </c>
      <c r="F250" s="140" t="s">
        <v>1800</v>
      </c>
      <c r="G250" s="140" t="s">
        <v>1801</v>
      </c>
      <c r="H250" s="140"/>
      <c r="I250" s="140" t="s">
        <v>1802</v>
      </c>
      <c r="J250" s="140" t="s">
        <v>1803</v>
      </c>
      <c r="K250" s="140" t="s">
        <v>2167</v>
      </c>
    </row>
    <row r="251" spans="1:11" x14ac:dyDescent="0.25">
      <c r="A251" s="140" t="s">
        <v>2168</v>
      </c>
      <c r="B251" s="141">
        <v>16073</v>
      </c>
      <c r="C251" s="140" t="s">
        <v>1798</v>
      </c>
      <c r="D251" s="142">
        <v>2168795.2999999998</v>
      </c>
      <c r="E251" s="140" t="s">
        <v>1799</v>
      </c>
      <c r="F251" s="140" t="s">
        <v>1800</v>
      </c>
      <c r="G251" s="140" t="s">
        <v>1801</v>
      </c>
      <c r="H251" s="140"/>
      <c r="I251" s="140" t="s">
        <v>1802</v>
      </c>
      <c r="J251" s="140" t="s">
        <v>1803</v>
      </c>
      <c r="K251" s="140" t="s">
        <v>2169</v>
      </c>
    </row>
    <row r="252" spans="1:11" x14ac:dyDescent="0.25">
      <c r="A252" s="140" t="s">
        <v>2170</v>
      </c>
      <c r="B252" s="141">
        <v>16145</v>
      </c>
      <c r="C252" s="140" t="s">
        <v>1798</v>
      </c>
      <c r="D252" s="142">
        <v>1430027.12</v>
      </c>
      <c r="E252" s="140" t="s">
        <v>1799</v>
      </c>
      <c r="F252" s="140" t="s">
        <v>1800</v>
      </c>
      <c r="G252" s="140" t="s">
        <v>1801</v>
      </c>
      <c r="H252" s="140"/>
      <c r="I252" s="140" t="s">
        <v>1802</v>
      </c>
      <c r="J252" s="140" t="s">
        <v>1803</v>
      </c>
      <c r="K252" s="140" t="s">
        <v>2171</v>
      </c>
    </row>
    <row r="253" spans="1:11" x14ac:dyDescent="0.25">
      <c r="A253" s="140" t="s">
        <v>2172</v>
      </c>
      <c r="B253" s="141">
        <v>16170</v>
      </c>
      <c r="C253" s="140" t="s">
        <v>1798</v>
      </c>
      <c r="D253" s="142">
        <v>1425915.21</v>
      </c>
      <c r="E253" s="140" t="s">
        <v>1799</v>
      </c>
      <c r="F253" s="140" t="s">
        <v>1800</v>
      </c>
      <c r="G253" s="140" t="s">
        <v>1801</v>
      </c>
      <c r="H253" s="140"/>
      <c r="I253" s="140" t="s">
        <v>1802</v>
      </c>
      <c r="J253" s="140" t="s">
        <v>1803</v>
      </c>
      <c r="K253" s="140" t="s">
        <v>2173</v>
      </c>
    </row>
    <row r="254" spans="1:11" x14ac:dyDescent="0.25">
      <c r="A254" s="140" t="s">
        <v>2172</v>
      </c>
      <c r="B254" s="141">
        <v>16171</v>
      </c>
      <c r="C254" s="140" t="s">
        <v>1798</v>
      </c>
      <c r="D254" s="142">
        <v>592125.62</v>
      </c>
      <c r="E254" s="140" t="s">
        <v>1799</v>
      </c>
      <c r="F254" s="140" t="s">
        <v>1800</v>
      </c>
      <c r="G254" s="140" t="s">
        <v>1801</v>
      </c>
      <c r="H254" s="140"/>
      <c r="I254" s="140" t="s">
        <v>1802</v>
      </c>
      <c r="J254" s="140" t="s">
        <v>1803</v>
      </c>
      <c r="K254" s="140" t="s">
        <v>2174</v>
      </c>
    </row>
    <row r="255" spans="1:11" x14ac:dyDescent="0.25">
      <c r="A255" s="140" t="s">
        <v>2175</v>
      </c>
      <c r="B255" s="141">
        <v>16256</v>
      </c>
      <c r="C255" s="140" t="s">
        <v>1798</v>
      </c>
      <c r="D255" s="142">
        <v>1365552.77</v>
      </c>
      <c r="E255" s="140" t="s">
        <v>1799</v>
      </c>
      <c r="F255" s="140" t="s">
        <v>1800</v>
      </c>
      <c r="G255" s="140" t="s">
        <v>1801</v>
      </c>
      <c r="H255" s="140"/>
      <c r="I255" s="140" t="s">
        <v>1802</v>
      </c>
      <c r="J255" s="140" t="s">
        <v>1803</v>
      </c>
      <c r="K255" s="140" t="s">
        <v>2176</v>
      </c>
    </row>
    <row r="256" spans="1:11" x14ac:dyDescent="0.25">
      <c r="A256" s="140" t="s">
        <v>2175</v>
      </c>
      <c r="B256" s="141">
        <v>16257</v>
      </c>
      <c r="C256" s="140" t="s">
        <v>1798</v>
      </c>
      <c r="D256" s="142">
        <v>92164.85</v>
      </c>
      <c r="E256" s="140" t="s">
        <v>1799</v>
      </c>
      <c r="F256" s="140" t="s">
        <v>1800</v>
      </c>
      <c r="G256" s="140" t="s">
        <v>1801</v>
      </c>
      <c r="H256" s="140"/>
      <c r="I256" s="140" t="s">
        <v>1802</v>
      </c>
      <c r="J256" s="140" t="s">
        <v>1803</v>
      </c>
      <c r="K256" s="140" t="s">
        <v>2177</v>
      </c>
    </row>
    <row r="257" spans="1:11" x14ac:dyDescent="0.25">
      <c r="A257" s="140" t="s">
        <v>2178</v>
      </c>
      <c r="B257" s="141">
        <v>16366</v>
      </c>
      <c r="C257" s="140" t="s">
        <v>1798</v>
      </c>
      <c r="D257" s="142">
        <v>1211298.46</v>
      </c>
      <c r="E257" s="140" t="s">
        <v>1799</v>
      </c>
      <c r="F257" s="140" t="s">
        <v>1800</v>
      </c>
      <c r="G257" s="140" t="s">
        <v>1801</v>
      </c>
      <c r="H257" s="140"/>
      <c r="I257" s="140" t="s">
        <v>1802</v>
      </c>
      <c r="J257" s="140" t="s">
        <v>1803</v>
      </c>
      <c r="K257" s="140" t="s">
        <v>2179</v>
      </c>
    </row>
    <row r="258" spans="1:11" x14ac:dyDescent="0.25">
      <c r="A258" s="140" t="s">
        <v>2178</v>
      </c>
      <c r="B258" s="141">
        <v>16421</v>
      </c>
      <c r="C258" s="140" t="s">
        <v>1798</v>
      </c>
      <c r="D258" s="142">
        <v>1127580.18</v>
      </c>
      <c r="E258" s="140" t="s">
        <v>1799</v>
      </c>
      <c r="F258" s="140" t="s">
        <v>1800</v>
      </c>
      <c r="G258" s="140" t="s">
        <v>1801</v>
      </c>
      <c r="H258" s="140"/>
      <c r="I258" s="140" t="s">
        <v>1802</v>
      </c>
      <c r="J258" s="140" t="s">
        <v>1803</v>
      </c>
      <c r="K258" s="140" t="s">
        <v>2180</v>
      </c>
    </row>
    <row r="259" spans="1:11" x14ac:dyDescent="0.25">
      <c r="A259" s="144" t="s">
        <v>1797</v>
      </c>
      <c r="B259" s="145">
        <v>25</v>
      </c>
      <c r="C259" s="144" t="s">
        <v>1798</v>
      </c>
      <c r="D259" s="146">
        <v>8.01</v>
      </c>
      <c r="E259" s="144" t="s">
        <v>1799</v>
      </c>
      <c r="F259" s="144" t="s">
        <v>1800</v>
      </c>
      <c r="G259" s="144" t="s">
        <v>1801</v>
      </c>
      <c r="H259" s="144"/>
      <c r="I259" s="144" t="s">
        <v>1802</v>
      </c>
      <c r="J259" s="144" t="s">
        <v>1803</v>
      </c>
      <c r="K259" s="144" t="s">
        <v>2181</v>
      </c>
    </row>
    <row r="260" spans="1:11" x14ac:dyDescent="0.25">
      <c r="A260" s="144" t="s">
        <v>1797</v>
      </c>
      <c r="B260" s="145">
        <v>26</v>
      </c>
      <c r="C260" s="144" t="s">
        <v>1798</v>
      </c>
      <c r="D260" s="146">
        <v>3</v>
      </c>
      <c r="E260" s="144" t="s">
        <v>1799</v>
      </c>
      <c r="F260" s="144" t="s">
        <v>1800</v>
      </c>
      <c r="G260" s="144" t="s">
        <v>1801</v>
      </c>
      <c r="H260" s="144"/>
      <c r="I260" s="144" t="s">
        <v>1802</v>
      </c>
      <c r="J260" s="144" t="s">
        <v>1803</v>
      </c>
      <c r="K260" s="144" t="s">
        <v>2182</v>
      </c>
    </row>
    <row r="261" spans="1:11" x14ac:dyDescent="0.25">
      <c r="A261" s="144" t="s">
        <v>1797</v>
      </c>
      <c r="B261" s="145">
        <v>27</v>
      </c>
      <c r="C261" s="144" t="s">
        <v>1798</v>
      </c>
      <c r="D261" s="146">
        <v>29.03</v>
      </c>
      <c r="E261" s="144" t="s">
        <v>1799</v>
      </c>
      <c r="F261" s="144" t="s">
        <v>1800</v>
      </c>
      <c r="G261" s="144" t="s">
        <v>1801</v>
      </c>
      <c r="H261" s="144"/>
      <c r="I261" s="144" t="s">
        <v>1802</v>
      </c>
      <c r="J261" s="144" t="s">
        <v>1803</v>
      </c>
      <c r="K261" s="144" t="s">
        <v>2183</v>
      </c>
    </row>
    <row r="262" spans="1:11" x14ac:dyDescent="0.25">
      <c r="A262" s="144" t="s">
        <v>1797</v>
      </c>
      <c r="B262" s="145">
        <v>28</v>
      </c>
      <c r="C262" s="144" t="s">
        <v>1798</v>
      </c>
      <c r="D262" s="146">
        <v>267.27</v>
      </c>
      <c r="E262" s="144" t="s">
        <v>1799</v>
      </c>
      <c r="F262" s="144" t="s">
        <v>1800</v>
      </c>
      <c r="G262" s="144" t="s">
        <v>1801</v>
      </c>
      <c r="H262" s="144"/>
      <c r="I262" s="144" t="s">
        <v>1802</v>
      </c>
      <c r="J262" s="144" t="s">
        <v>1803</v>
      </c>
      <c r="K262" s="144" t="s">
        <v>2184</v>
      </c>
    </row>
    <row r="263" spans="1:11" x14ac:dyDescent="0.25">
      <c r="A263" s="144" t="s">
        <v>1797</v>
      </c>
      <c r="B263" s="145">
        <v>29</v>
      </c>
      <c r="C263" s="144" t="s">
        <v>1798</v>
      </c>
      <c r="D263" s="147">
        <v>9059.0499999999993</v>
      </c>
      <c r="E263" s="144" t="s">
        <v>1799</v>
      </c>
      <c r="F263" s="144" t="s">
        <v>1800</v>
      </c>
      <c r="G263" s="144" t="s">
        <v>1801</v>
      </c>
      <c r="H263" s="144"/>
      <c r="I263" s="144" t="s">
        <v>1802</v>
      </c>
      <c r="J263" s="144" t="s">
        <v>1803</v>
      </c>
      <c r="K263" s="144" t="s">
        <v>2185</v>
      </c>
    </row>
    <row r="264" spans="1:11" x14ac:dyDescent="0.25">
      <c r="A264" s="144" t="s">
        <v>1797</v>
      </c>
      <c r="B264" s="145">
        <v>30</v>
      </c>
      <c r="C264" s="144" t="s">
        <v>1798</v>
      </c>
      <c r="D264" s="146">
        <v>304.3</v>
      </c>
      <c r="E264" s="144" t="s">
        <v>1799</v>
      </c>
      <c r="F264" s="144" t="s">
        <v>1800</v>
      </c>
      <c r="G264" s="144" t="s">
        <v>1801</v>
      </c>
      <c r="H264" s="144"/>
      <c r="I264" s="144" t="s">
        <v>1802</v>
      </c>
      <c r="J264" s="144" t="s">
        <v>1803</v>
      </c>
      <c r="K264" s="144" t="s">
        <v>2186</v>
      </c>
    </row>
    <row r="265" spans="1:11" x14ac:dyDescent="0.25">
      <c r="A265" s="144" t="s">
        <v>1797</v>
      </c>
      <c r="B265" s="145">
        <v>31</v>
      </c>
      <c r="C265" s="144" t="s">
        <v>1798</v>
      </c>
      <c r="D265" s="147">
        <v>2595.59</v>
      </c>
      <c r="E265" s="144" t="s">
        <v>1799</v>
      </c>
      <c r="F265" s="144" t="s">
        <v>1800</v>
      </c>
      <c r="G265" s="144" t="s">
        <v>1801</v>
      </c>
      <c r="H265" s="144"/>
      <c r="I265" s="144" t="s">
        <v>1802</v>
      </c>
      <c r="J265" s="144" t="s">
        <v>1803</v>
      </c>
      <c r="K265" s="144" t="s">
        <v>2187</v>
      </c>
    </row>
    <row r="266" spans="1:11" x14ac:dyDescent="0.25">
      <c r="A266" s="144" t="s">
        <v>1797</v>
      </c>
      <c r="B266" s="145">
        <v>32</v>
      </c>
      <c r="C266" s="144" t="s">
        <v>1798</v>
      </c>
      <c r="D266" s="146">
        <v>204.2</v>
      </c>
      <c r="E266" s="144" t="s">
        <v>1799</v>
      </c>
      <c r="F266" s="144" t="s">
        <v>1800</v>
      </c>
      <c r="G266" s="144" t="s">
        <v>1801</v>
      </c>
      <c r="H266" s="144"/>
      <c r="I266" s="144" t="s">
        <v>1802</v>
      </c>
      <c r="J266" s="144" t="s">
        <v>1803</v>
      </c>
      <c r="K266" s="144" t="s">
        <v>2188</v>
      </c>
    </row>
    <row r="267" spans="1:11" x14ac:dyDescent="0.25">
      <c r="A267" s="144" t="s">
        <v>1797</v>
      </c>
      <c r="B267" s="145">
        <v>33</v>
      </c>
      <c r="C267" s="144" t="s">
        <v>1798</v>
      </c>
      <c r="D267" s="146">
        <v>289.29000000000002</v>
      </c>
      <c r="E267" s="144" t="s">
        <v>1799</v>
      </c>
      <c r="F267" s="144" t="s">
        <v>1800</v>
      </c>
      <c r="G267" s="144" t="s">
        <v>1801</v>
      </c>
      <c r="H267" s="144"/>
      <c r="I267" s="144" t="s">
        <v>1802</v>
      </c>
      <c r="J267" s="144" t="s">
        <v>1803</v>
      </c>
      <c r="K267" s="144" t="s">
        <v>2189</v>
      </c>
    </row>
    <row r="268" spans="1:11" x14ac:dyDescent="0.25">
      <c r="A268" s="144" t="s">
        <v>1797</v>
      </c>
      <c r="B268" s="145">
        <v>34</v>
      </c>
      <c r="C268" s="144" t="s">
        <v>1798</v>
      </c>
      <c r="D268" s="146">
        <v>17.02</v>
      </c>
      <c r="E268" s="144" t="s">
        <v>1799</v>
      </c>
      <c r="F268" s="144" t="s">
        <v>1800</v>
      </c>
      <c r="G268" s="144" t="s">
        <v>1801</v>
      </c>
      <c r="H268" s="144"/>
      <c r="I268" s="144" t="s">
        <v>1802</v>
      </c>
      <c r="J268" s="144" t="s">
        <v>1803</v>
      </c>
      <c r="K268" s="144" t="s">
        <v>2190</v>
      </c>
    </row>
    <row r="269" spans="1:11" x14ac:dyDescent="0.25">
      <c r="A269" s="144" t="s">
        <v>1797</v>
      </c>
      <c r="B269" s="145">
        <v>35</v>
      </c>
      <c r="C269" s="144" t="s">
        <v>1798</v>
      </c>
      <c r="D269" s="146">
        <v>305.31</v>
      </c>
      <c r="E269" s="144" t="s">
        <v>1799</v>
      </c>
      <c r="F269" s="144" t="s">
        <v>1800</v>
      </c>
      <c r="G269" s="144" t="s">
        <v>1801</v>
      </c>
      <c r="H269" s="144"/>
      <c r="I269" s="144" t="s">
        <v>1802</v>
      </c>
      <c r="J269" s="144" t="s">
        <v>1803</v>
      </c>
      <c r="K269" s="144" t="s">
        <v>2191</v>
      </c>
    </row>
    <row r="270" spans="1:11" x14ac:dyDescent="0.25">
      <c r="A270" s="144" t="s">
        <v>1797</v>
      </c>
      <c r="B270" s="145">
        <v>36</v>
      </c>
      <c r="C270" s="144" t="s">
        <v>1798</v>
      </c>
      <c r="D270" s="146">
        <v>29.03</v>
      </c>
      <c r="E270" s="144" t="s">
        <v>1799</v>
      </c>
      <c r="F270" s="144" t="s">
        <v>1800</v>
      </c>
      <c r="G270" s="144" t="s">
        <v>1801</v>
      </c>
      <c r="H270" s="144"/>
      <c r="I270" s="144" t="s">
        <v>1802</v>
      </c>
      <c r="J270" s="144" t="s">
        <v>1803</v>
      </c>
      <c r="K270" s="144" t="s">
        <v>2192</v>
      </c>
    </row>
    <row r="271" spans="1:11" x14ac:dyDescent="0.25">
      <c r="A271" s="144" t="s">
        <v>1797</v>
      </c>
      <c r="B271" s="145">
        <v>37</v>
      </c>
      <c r="C271" s="144" t="s">
        <v>1798</v>
      </c>
      <c r="D271" s="146">
        <v>41.04</v>
      </c>
      <c r="E271" s="144" t="s">
        <v>1799</v>
      </c>
      <c r="F271" s="144" t="s">
        <v>1800</v>
      </c>
      <c r="G271" s="144" t="s">
        <v>1801</v>
      </c>
      <c r="H271" s="144"/>
      <c r="I271" s="144" t="s">
        <v>1802</v>
      </c>
      <c r="J271" s="144" t="s">
        <v>1803</v>
      </c>
      <c r="K271" s="144" t="s">
        <v>2193</v>
      </c>
    </row>
    <row r="272" spans="1:11" x14ac:dyDescent="0.25">
      <c r="A272" s="144" t="s">
        <v>1797</v>
      </c>
      <c r="B272" s="145">
        <v>38</v>
      </c>
      <c r="C272" s="144" t="s">
        <v>1798</v>
      </c>
      <c r="D272" s="146">
        <v>293.29000000000002</v>
      </c>
      <c r="E272" s="144" t="s">
        <v>1799</v>
      </c>
      <c r="F272" s="144" t="s">
        <v>1800</v>
      </c>
      <c r="G272" s="144" t="s">
        <v>1801</v>
      </c>
      <c r="H272" s="144"/>
      <c r="I272" s="144" t="s">
        <v>1802</v>
      </c>
      <c r="J272" s="144" t="s">
        <v>1803</v>
      </c>
      <c r="K272" s="144" t="s">
        <v>2194</v>
      </c>
    </row>
    <row r="273" spans="1:11" x14ac:dyDescent="0.25">
      <c r="A273" s="144" t="s">
        <v>1836</v>
      </c>
      <c r="B273" s="145">
        <v>730</v>
      </c>
      <c r="C273" s="144" t="s">
        <v>1798</v>
      </c>
      <c r="D273" s="146">
        <v>8.01</v>
      </c>
      <c r="E273" s="144" t="s">
        <v>1799</v>
      </c>
      <c r="F273" s="144" t="s">
        <v>1800</v>
      </c>
      <c r="G273" s="144" t="s">
        <v>1801</v>
      </c>
      <c r="H273" s="144"/>
      <c r="I273" s="144" t="s">
        <v>1802</v>
      </c>
      <c r="J273" s="144" t="s">
        <v>1803</v>
      </c>
      <c r="K273" s="144" t="s">
        <v>2195</v>
      </c>
    </row>
    <row r="274" spans="1:11" x14ac:dyDescent="0.25">
      <c r="A274" s="144" t="s">
        <v>1836</v>
      </c>
      <c r="B274" s="145">
        <v>731</v>
      </c>
      <c r="C274" s="144" t="s">
        <v>1798</v>
      </c>
      <c r="D274" s="146">
        <v>19.02</v>
      </c>
      <c r="E274" s="144" t="s">
        <v>1799</v>
      </c>
      <c r="F274" s="144" t="s">
        <v>1800</v>
      </c>
      <c r="G274" s="144" t="s">
        <v>1801</v>
      </c>
      <c r="H274" s="144"/>
      <c r="I274" s="144" t="s">
        <v>1802</v>
      </c>
      <c r="J274" s="144" t="s">
        <v>1803</v>
      </c>
      <c r="K274" s="144" t="s">
        <v>2196</v>
      </c>
    </row>
    <row r="275" spans="1:11" x14ac:dyDescent="0.25">
      <c r="A275" s="144" t="s">
        <v>1836</v>
      </c>
      <c r="B275" s="145">
        <v>732</v>
      </c>
      <c r="C275" s="144" t="s">
        <v>1798</v>
      </c>
      <c r="D275" s="146">
        <v>44.04</v>
      </c>
      <c r="E275" s="144" t="s">
        <v>1799</v>
      </c>
      <c r="F275" s="144" t="s">
        <v>1800</v>
      </c>
      <c r="G275" s="144" t="s">
        <v>1801</v>
      </c>
      <c r="H275" s="144"/>
      <c r="I275" s="144" t="s">
        <v>1802</v>
      </c>
      <c r="J275" s="144" t="s">
        <v>1803</v>
      </c>
      <c r="K275" s="144" t="s">
        <v>2197</v>
      </c>
    </row>
    <row r="276" spans="1:11" x14ac:dyDescent="0.25">
      <c r="A276" s="144" t="s">
        <v>1836</v>
      </c>
      <c r="B276" s="145">
        <v>733</v>
      </c>
      <c r="C276" s="144" t="s">
        <v>1798</v>
      </c>
      <c r="D276" s="146">
        <v>243.24</v>
      </c>
      <c r="E276" s="144" t="s">
        <v>1799</v>
      </c>
      <c r="F276" s="144" t="s">
        <v>1800</v>
      </c>
      <c r="G276" s="144" t="s">
        <v>1801</v>
      </c>
      <c r="H276" s="144"/>
      <c r="I276" s="144" t="s">
        <v>1802</v>
      </c>
      <c r="J276" s="144" t="s">
        <v>1803</v>
      </c>
      <c r="K276" s="144" t="s">
        <v>2198</v>
      </c>
    </row>
    <row r="277" spans="1:11" x14ac:dyDescent="0.25">
      <c r="A277" s="144" t="s">
        <v>1836</v>
      </c>
      <c r="B277" s="145">
        <v>734</v>
      </c>
      <c r="C277" s="144" t="s">
        <v>1798</v>
      </c>
      <c r="D277" s="146">
        <v>758.76</v>
      </c>
      <c r="E277" s="144" t="s">
        <v>1799</v>
      </c>
      <c r="F277" s="144" t="s">
        <v>1800</v>
      </c>
      <c r="G277" s="144" t="s">
        <v>1801</v>
      </c>
      <c r="H277" s="144"/>
      <c r="I277" s="144" t="s">
        <v>1802</v>
      </c>
      <c r="J277" s="144" t="s">
        <v>1803</v>
      </c>
      <c r="K277" s="144" t="s">
        <v>2199</v>
      </c>
    </row>
    <row r="278" spans="1:11" x14ac:dyDescent="0.25">
      <c r="A278" s="144" t="s">
        <v>1836</v>
      </c>
      <c r="B278" s="145">
        <v>735</v>
      </c>
      <c r="C278" s="144" t="s">
        <v>1798</v>
      </c>
      <c r="D278" s="146">
        <v>668.67</v>
      </c>
      <c r="E278" s="144" t="s">
        <v>1799</v>
      </c>
      <c r="F278" s="144" t="s">
        <v>1800</v>
      </c>
      <c r="G278" s="144" t="s">
        <v>1801</v>
      </c>
      <c r="H278" s="144"/>
      <c r="I278" s="144" t="s">
        <v>1802</v>
      </c>
      <c r="J278" s="144" t="s">
        <v>1803</v>
      </c>
      <c r="K278" s="144" t="s">
        <v>2200</v>
      </c>
    </row>
    <row r="279" spans="1:11" x14ac:dyDescent="0.25">
      <c r="A279" s="144" t="s">
        <v>1836</v>
      </c>
      <c r="B279" s="145">
        <v>736</v>
      </c>
      <c r="C279" s="144" t="s">
        <v>1798</v>
      </c>
      <c r="D279" s="146">
        <v>41.04</v>
      </c>
      <c r="E279" s="144" t="s">
        <v>1799</v>
      </c>
      <c r="F279" s="144" t="s">
        <v>1800</v>
      </c>
      <c r="G279" s="144" t="s">
        <v>1801</v>
      </c>
      <c r="H279" s="144"/>
      <c r="I279" s="144" t="s">
        <v>1802</v>
      </c>
      <c r="J279" s="144" t="s">
        <v>1803</v>
      </c>
      <c r="K279" s="144" t="s">
        <v>2201</v>
      </c>
    </row>
    <row r="280" spans="1:11" x14ac:dyDescent="0.25">
      <c r="A280" s="144" t="s">
        <v>1836</v>
      </c>
      <c r="B280" s="145">
        <v>737</v>
      </c>
      <c r="C280" s="144" t="s">
        <v>1798</v>
      </c>
      <c r="D280" s="146">
        <v>44.04</v>
      </c>
      <c r="E280" s="144" t="s">
        <v>1799</v>
      </c>
      <c r="F280" s="144" t="s">
        <v>1800</v>
      </c>
      <c r="G280" s="144" t="s">
        <v>1801</v>
      </c>
      <c r="H280" s="144"/>
      <c r="I280" s="144" t="s">
        <v>1802</v>
      </c>
      <c r="J280" s="144" t="s">
        <v>1803</v>
      </c>
      <c r="K280" s="144" t="s">
        <v>2202</v>
      </c>
    </row>
    <row r="281" spans="1:11" x14ac:dyDescent="0.25">
      <c r="A281" s="144" t="s">
        <v>1836</v>
      </c>
      <c r="B281" s="145">
        <v>738</v>
      </c>
      <c r="C281" s="144" t="s">
        <v>1798</v>
      </c>
      <c r="D281" s="146">
        <v>330.33</v>
      </c>
      <c r="E281" s="144" t="s">
        <v>1799</v>
      </c>
      <c r="F281" s="144" t="s">
        <v>1800</v>
      </c>
      <c r="G281" s="144" t="s">
        <v>1801</v>
      </c>
      <c r="H281" s="144"/>
      <c r="I281" s="144" t="s">
        <v>1802</v>
      </c>
      <c r="J281" s="144" t="s">
        <v>1803</v>
      </c>
      <c r="K281" s="144" t="s">
        <v>2203</v>
      </c>
    </row>
    <row r="282" spans="1:11" x14ac:dyDescent="0.25">
      <c r="A282" s="144" t="s">
        <v>1836</v>
      </c>
      <c r="B282" s="145">
        <v>739</v>
      </c>
      <c r="C282" s="144" t="s">
        <v>1798</v>
      </c>
      <c r="D282" s="146">
        <v>3</v>
      </c>
      <c r="E282" s="144" t="s">
        <v>1799</v>
      </c>
      <c r="F282" s="144" t="s">
        <v>1800</v>
      </c>
      <c r="G282" s="144" t="s">
        <v>1801</v>
      </c>
      <c r="H282" s="144"/>
      <c r="I282" s="144" t="s">
        <v>1802</v>
      </c>
      <c r="J282" s="144" t="s">
        <v>1803</v>
      </c>
      <c r="K282" s="144" t="s">
        <v>2204</v>
      </c>
    </row>
    <row r="283" spans="1:11" x14ac:dyDescent="0.25">
      <c r="A283" s="144" t="s">
        <v>1836</v>
      </c>
      <c r="B283" s="145">
        <v>740</v>
      </c>
      <c r="C283" s="144" t="s">
        <v>1798</v>
      </c>
      <c r="D283" s="146">
        <v>59.06</v>
      </c>
      <c r="E283" s="144" t="s">
        <v>1799</v>
      </c>
      <c r="F283" s="144" t="s">
        <v>1800</v>
      </c>
      <c r="G283" s="144" t="s">
        <v>1801</v>
      </c>
      <c r="H283" s="144"/>
      <c r="I283" s="144" t="s">
        <v>1802</v>
      </c>
      <c r="J283" s="144" t="s">
        <v>1803</v>
      </c>
      <c r="K283" s="144" t="s">
        <v>2205</v>
      </c>
    </row>
    <row r="284" spans="1:11" x14ac:dyDescent="0.25">
      <c r="A284" s="144" t="s">
        <v>1836</v>
      </c>
      <c r="B284" s="145">
        <v>741</v>
      </c>
      <c r="C284" s="144" t="s">
        <v>1798</v>
      </c>
      <c r="D284" s="146">
        <v>28.03</v>
      </c>
      <c r="E284" s="144" t="s">
        <v>1799</v>
      </c>
      <c r="F284" s="144" t="s">
        <v>1800</v>
      </c>
      <c r="G284" s="144" t="s">
        <v>1801</v>
      </c>
      <c r="H284" s="144"/>
      <c r="I284" s="144" t="s">
        <v>1802</v>
      </c>
      <c r="J284" s="144" t="s">
        <v>1803</v>
      </c>
      <c r="K284" s="144" t="s">
        <v>2206</v>
      </c>
    </row>
    <row r="285" spans="1:11" x14ac:dyDescent="0.25">
      <c r="A285" s="144" t="s">
        <v>1836</v>
      </c>
      <c r="B285" s="145">
        <v>742</v>
      </c>
      <c r="C285" s="144" t="s">
        <v>1798</v>
      </c>
      <c r="D285" s="146">
        <v>38.04</v>
      </c>
      <c r="E285" s="144" t="s">
        <v>1799</v>
      </c>
      <c r="F285" s="144" t="s">
        <v>1800</v>
      </c>
      <c r="G285" s="144" t="s">
        <v>1801</v>
      </c>
      <c r="H285" s="144"/>
      <c r="I285" s="144" t="s">
        <v>1802</v>
      </c>
      <c r="J285" s="144" t="s">
        <v>1803</v>
      </c>
      <c r="K285" s="144" t="s">
        <v>2207</v>
      </c>
    </row>
    <row r="286" spans="1:11" x14ac:dyDescent="0.25">
      <c r="A286" s="144" t="s">
        <v>1836</v>
      </c>
      <c r="B286" s="145">
        <v>743</v>
      </c>
      <c r="C286" s="144" t="s">
        <v>1798</v>
      </c>
      <c r="D286" s="146">
        <v>308.31</v>
      </c>
      <c r="E286" s="144" t="s">
        <v>1799</v>
      </c>
      <c r="F286" s="144" t="s">
        <v>1800</v>
      </c>
      <c r="G286" s="144" t="s">
        <v>1801</v>
      </c>
      <c r="H286" s="144"/>
      <c r="I286" s="144" t="s">
        <v>1802</v>
      </c>
      <c r="J286" s="144" t="s">
        <v>1803</v>
      </c>
      <c r="K286" s="144" t="s">
        <v>2208</v>
      </c>
    </row>
    <row r="287" spans="1:11" x14ac:dyDescent="0.25">
      <c r="A287" s="144" t="s">
        <v>1836</v>
      </c>
      <c r="B287" s="145">
        <v>744</v>
      </c>
      <c r="C287" s="144" t="s">
        <v>1798</v>
      </c>
      <c r="D287" s="146">
        <v>207.21</v>
      </c>
      <c r="E287" s="144" t="s">
        <v>1799</v>
      </c>
      <c r="F287" s="144" t="s">
        <v>1800</v>
      </c>
      <c r="G287" s="144" t="s">
        <v>1801</v>
      </c>
      <c r="H287" s="144"/>
      <c r="I287" s="144" t="s">
        <v>1802</v>
      </c>
      <c r="J287" s="144" t="s">
        <v>1803</v>
      </c>
      <c r="K287" s="144" t="s">
        <v>2209</v>
      </c>
    </row>
    <row r="288" spans="1:11" x14ac:dyDescent="0.25">
      <c r="A288" s="144" t="s">
        <v>1836</v>
      </c>
      <c r="B288" s="145">
        <v>745</v>
      </c>
      <c r="C288" s="144" t="s">
        <v>1798</v>
      </c>
      <c r="D288" s="146">
        <v>100.1</v>
      </c>
      <c r="E288" s="144" t="s">
        <v>1799</v>
      </c>
      <c r="F288" s="144" t="s">
        <v>1800</v>
      </c>
      <c r="G288" s="144" t="s">
        <v>1801</v>
      </c>
      <c r="H288" s="144"/>
      <c r="I288" s="144" t="s">
        <v>1802</v>
      </c>
      <c r="J288" s="144" t="s">
        <v>1803</v>
      </c>
      <c r="K288" s="144" t="s">
        <v>2210</v>
      </c>
    </row>
    <row r="289" spans="1:11" x14ac:dyDescent="0.25">
      <c r="A289" s="144" t="s">
        <v>1873</v>
      </c>
      <c r="B289" s="145">
        <v>1758</v>
      </c>
      <c r="C289" s="144" t="s">
        <v>1798</v>
      </c>
      <c r="D289" s="146">
        <v>76.069999999999993</v>
      </c>
      <c r="E289" s="144" t="s">
        <v>1799</v>
      </c>
      <c r="F289" s="144" t="s">
        <v>1800</v>
      </c>
      <c r="G289" s="144" t="s">
        <v>1801</v>
      </c>
      <c r="H289" s="144"/>
      <c r="I289" s="144" t="s">
        <v>1802</v>
      </c>
      <c r="J289" s="144" t="s">
        <v>1803</v>
      </c>
      <c r="K289" s="144" t="s">
        <v>2211</v>
      </c>
    </row>
    <row r="290" spans="1:11" x14ac:dyDescent="0.25">
      <c r="A290" s="144" t="s">
        <v>1873</v>
      </c>
      <c r="B290" s="145">
        <v>1759</v>
      </c>
      <c r="C290" s="144" t="s">
        <v>1798</v>
      </c>
      <c r="D290" s="146">
        <v>14.01</v>
      </c>
      <c r="E290" s="144" t="s">
        <v>1799</v>
      </c>
      <c r="F290" s="144" t="s">
        <v>1800</v>
      </c>
      <c r="G290" s="144" t="s">
        <v>1801</v>
      </c>
      <c r="H290" s="144"/>
      <c r="I290" s="144" t="s">
        <v>1802</v>
      </c>
      <c r="J290" s="144" t="s">
        <v>1803</v>
      </c>
      <c r="K290" s="144" t="s">
        <v>2212</v>
      </c>
    </row>
    <row r="291" spans="1:11" x14ac:dyDescent="0.25">
      <c r="A291" s="144" t="s">
        <v>1873</v>
      </c>
      <c r="B291" s="145">
        <v>1760</v>
      </c>
      <c r="C291" s="144" t="s">
        <v>1798</v>
      </c>
      <c r="D291" s="146">
        <v>41.04</v>
      </c>
      <c r="E291" s="144" t="s">
        <v>1799</v>
      </c>
      <c r="F291" s="144" t="s">
        <v>1800</v>
      </c>
      <c r="G291" s="144" t="s">
        <v>1801</v>
      </c>
      <c r="H291" s="144"/>
      <c r="I291" s="144" t="s">
        <v>1802</v>
      </c>
      <c r="J291" s="144" t="s">
        <v>1803</v>
      </c>
      <c r="K291" s="144" t="s">
        <v>2213</v>
      </c>
    </row>
    <row r="292" spans="1:11" x14ac:dyDescent="0.25">
      <c r="A292" s="144" t="s">
        <v>1873</v>
      </c>
      <c r="B292" s="145">
        <v>1761</v>
      </c>
      <c r="C292" s="144" t="s">
        <v>1798</v>
      </c>
      <c r="D292" s="146">
        <v>367.33</v>
      </c>
      <c r="E292" s="144" t="s">
        <v>1799</v>
      </c>
      <c r="F292" s="144" t="s">
        <v>1800</v>
      </c>
      <c r="G292" s="144" t="s">
        <v>1801</v>
      </c>
      <c r="H292" s="144"/>
      <c r="I292" s="144" t="s">
        <v>1802</v>
      </c>
      <c r="J292" s="144" t="s">
        <v>1803</v>
      </c>
      <c r="K292" s="144" t="s">
        <v>2214</v>
      </c>
    </row>
    <row r="293" spans="1:11" x14ac:dyDescent="0.25">
      <c r="A293" s="144" t="s">
        <v>1873</v>
      </c>
      <c r="B293" s="145">
        <v>1762</v>
      </c>
      <c r="C293" s="144" t="s">
        <v>1798</v>
      </c>
      <c r="D293" s="146">
        <v>596.53</v>
      </c>
      <c r="E293" s="144" t="s">
        <v>1799</v>
      </c>
      <c r="F293" s="144" t="s">
        <v>1800</v>
      </c>
      <c r="G293" s="144" t="s">
        <v>1801</v>
      </c>
      <c r="H293" s="144"/>
      <c r="I293" s="144" t="s">
        <v>1802</v>
      </c>
      <c r="J293" s="144" t="s">
        <v>1803</v>
      </c>
      <c r="K293" s="144" t="s">
        <v>2215</v>
      </c>
    </row>
    <row r="294" spans="1:11" x14ac:dyDescent="0.25">
      <c r="A294" s="144" t="s">
        <v>1873</v>
      </c>
      <c r="B294" s="145">
        <v>1763</v>
      </c>
      <c r="C294" s="144" t="s">
        <v>1798</v>
      </c>
      <c r="D294" s="146">
        <v>214.19</v>
      </c>
      <c r="E294" s="144" t="s">
        <v>1799</v>
      </c>
      <c r="F294" s="144" t="s">
        <v>1800</v>
      </c>
      <c r="G294" s="144" t="s">
        <v>1801</v>
      </c>
      <c r="H294" s="144"/>
      <c r="I294" s="144" t="s">
        <v>1802</v>
      </c>
      <c r="J294" s="144" t="s">
        <v>1803</v>
      </c>
      <c r="K294" s="144" t="s">
        <v>2216</v>
      </c>
    </row>
    <row r="295" spans="1:11" x14ac:dyDescent="0.25">
      <c r="A295" s="144" t="s">
        <v>1873</v>
      </c>
      <c r="B295" s="145">
        <v>1764</v>
      </c>
      <c r="C295" s="144" t="s">
        <v>1798</v>
      </c>
      <c r="D295" s="146">
        <v>120.11</v>
      </c>
      <c r="E295" s="144" t="s">
        <v>1799</v>
      </c>
      <c r="F295" s="144" t="s">
        <v>1800</v>
      </c>
      <c r="G295" s="144" t="s">
        <v>1801</v>
      </c>
      <c r="H295" s="144"/>
      <c r="I295" s="144" t="s">
        <v>1802</v>
      </c>
      <c r="J295" s="144" t="s">
        <v>1803</v>
      </c>
      <c r="K295" s="144" t="s">
        <v>2217</v>
      </c>
    </row>
    <row r="296" spans="1:11" x14ac:dyDescent="0.25">
      <c r="A296" s="144" t="s">
        <v>1873</v>
      </c>
      <c r="B296" s="145">
        <v>1765</v>
      </c>
      <c r="C296" s="144" t="s">
        <v>1798</v>
      </c>
      <c r="D296" s="146">
        <v>64.06</v>
      </c>
      <c r="E296" s="144" t="s">
        <v>1799</v>
      </c>
      <c r="F296" s="144" t="s">
        <v>1800</v>
      </c>
      <c r="G296" s="144" t="s">
        <v>1801</v>
      </c>
      <c r="H296" s="144"/>
      <c r="I296" s="144" t="s">
        <v>1802</v>
      </c>
      <c r="J296" s="144" t="s">
        <v>1803</v>
      </c>
      <c r="K296" s="144" t="s">
        <v>2218</v>
      </c>
    </row>
    <row r="297" spans="1:11" x14ac:dyDescent="0.25">
      <c r="A297" s="144" t="s">
        <v>1873</v>
      </c>
      <c r="B297" s="145">
        <v>1766</v>
      </c>
      <c r="C297" s="144" t="s">
        <v>1798</v>
      </c>
      <c r="D297" s="146">
        <v>3</v>
      </c>
      <c r="E297" s="144" t="s">
        <v>1799</v>
      </c>
      <c r="F297" s="144" t="s">
        <v>1800</v>
      </c>
      <c r="G297" s="144" t="s">
        <v>1801</v>
      </c>
      <c r="H297" s="144"/>
      <c r="I297" s="144" t="s">
        <v>1802</v>
      </c>
      <c r="J297" s="144" t="s">
        <v>1803</v>
      </c>
      <c r="K297" s="144" t="s">
        <v>2219</v>
      </c>
    </row>
    <row r="298" spans="1:11" x14ac:dyDescent="0.25">
      <c r="A298" s="144" t="s">
        <v>1873</v>
      </c>
      <c r="B298" s="145">
        <v>1767</v>
      </c>
      <c r="C298" s="144" t="s">
        <v>1798</v>
      </c>
      <c r="D298" s="146">
        <v>357.32</v>
      </c>
      <c r="E298" s="144" t="s">
        <v>1799</v>
      </c>
      <c r="F298" s="144" t="s">
        <v>1800</v>
      </c>
      <c r="G298" s="144" t="s">
        <v>1801</v>
      </c>
      <c r="H298" s="144"/>
      <c r="I298" s="144" t="s">
        <v>1802</v>
      </c>
      <c r="J298" s="144" t="s">
        <v>1803</v>
      </c>
      <c r="K298" s="144" t="s">
        <v>2220</v>
      </c>
    </row>
    <row r="299" spans="1:11" x14ac:dyDescent="0.25">
      <c r="A299" s="144" t="s">
        <v>1873</v>
      </c>
      <c r="B299" s="145">
        <v>1768</v>
      </c>
      <c r="C299" s="144" t="s">
        <v>1798</v>
      </c>
      <c r="D299" s="146">
        <v>9.01</v>
      </c>
      <c r="E299" s="144" t="s">
        <v>1799</v>
      </c>
      <c r="F299" s="144" t="s">
        <v>1800</v>
      </c>
      <c r="G299" s="144" t="s">
        <v>1801</v>
      </c>
      <c r="H299" s="144"/>
      <c r="I299" s="144" t="s">
        <v>1802</v>
      </c>
      <c r="J299" s="144" t="s">
        <v>1803</v>
      </c>
      <c r="K299" s="144" t="s">
        <v>2221</v>
      </c>
    </row>
    <row r="300" spans="1:11" x14ac:dyDescent="0.25">
      <c r="A300" s="144" t="s">
        <v>1873</v>
      </c>
      <c r="B300" s="145">
        <v>1769</v>
      </c>
      <c r="C300" s="144" t="s">
        <v>1798</v>
      </c>
      <c r="D300" s="146">
        <v>1</v>
      </c>
      <c r="E300" s="144" t="s">
        <v>1799</v>
      </c>
      <c r="F300" s="144" t="s">
        <v>1800</v>
      </c>
      <c r="G300" s="144" t="s">
        <v>1801</v>
      </c>
      <c r="H300" s="144"/>
      <c r="I300" s="144" t="s">
        <v>1802</v>
      </c>
      <c r="J300" s="144" t="s">
        <v>1803</v>
      </c>
      <c r="K300" s="144" t="s">
        <v>2222</v>
      </c>
    </row>
    <row r="301" spans="1:11" x14ac:dyDescent="0.25">
      <c r="A301" s="144" t="s">
        <v>1873</v>
      </c>
      <c r="B301" s="145">
        <v>1770</v>
      </c>
      <c r="C301" s="144" t="s">
        <v>1798</v>
      </c>
      <c r="D301" s="146">
        <v>13.01</v>
      </c>
      <c r="E301" s="144" t="s">
        <v>1799</v>
      </c>
      <c r="F301" s="144" t="s">
        <v>1800</v>
      </c>
      <c r="G301" s="144" t="s">
        <v>1801</v>
      </c>
      <c r="H301" s="144"/>
      <c r="I301" s="144" t="s">
        <v>1802</v>
      </c>
      <c r="J301" s="144" t="s">
        <v>1803</v>
      </c>
      <c r="K301" s="144" t="s">
        <v>2223</v>
      </c>
    </row>
    <row r="302" spans="1:11" x14ac:dyDescent="0.25">
      <c r="A302" s="144" t="s">
        <v>1873</v>
      </c>
      <c r="B302" s="145">
        <v>1771</v>
      </c>
      <c r="C302" s="144" t="s">
        <v>1798</v>
      </c>
      <c r="D302" s="146">
        <v>35.03</v>
      </c>
      <c r="E302" s="144" t="s">
        <v>1799</v>
      </c>
      <c r="F302" s="144" t="s">
        <v>1800</v>
      </c>
      <c r="G302" s="144" t="s">
        <v>1801</v>
      </c>
      <c r="H302" s="144"/>
      <c r="I302" s="144" t="s">
        <v>1802</v>
      </c>
      <c r="J302" s="144" t="s">
        <v>1803</v>
      </c>
      <c r="K302" s="144" t="s">
        <v>2224</v>
      </c>
    </row>
    <row r="303" spans="1:11" x14ac:dyDescent="0.25">
      <c r="A303" s="144" t="s">
        <v>1873</v>
      </c>
      <c r="B303" s="145">
        <v>1772</v>
      </c>
      <c r="C303" s="144" t="s">
        <v>1798</v>
      </c>
      <c r="D303" s="146">
        <v>217.2</v>
      </c>
      <c r="E303" s="144" t="s">
        <v>1799</v>
      </c>
      <c r="F303" s="144" t="s">
        <v>1800</v>
      </c>
      <c r="G303" s="144" t="s">
        <v>1801</v>
      </c>
      <c r="H303" s="144"/>
      <c r="I303" s="144" t="s">
        <v>1802</v>
      </c>
      <c r="J303" s="144" t="s">
        <v>1803</v>
      </c>
      <c r="K303" s="144" t="s">
        <v>2225</v>
      </c>
    </row>
    <row r="304" spans="1:11" x14ac:dyDescent="0.25">
      <c r="A304" s="144" t="s">
        <v>1873</v>
      </c>
      <c r="B304" s="145">
        <v>1773</v>
      </c>
      <c r="C304" s="144" t="s">
        <v>1798</v>
      </c>
      <c r="D304" s="146">
        <v>111.1</v>
      </c>
      <c r="E304" s="144" t="s">
        <v>1799</v>
      </c>
      <c r="F304" s="144" t="s">
        <v>1800</v>
      </c>
      <c r="G304" s="144" t="s">
        <v>1801</v>
      </c>
      <c r="H304" s="144"/>
      <c r="I304" s="144" t="s">
        <v>1802</v>
      </c>
      <c r="J304" s="144" t="s">
        <v>1803</v>
      </c>
      <c r="K304" s="144" t="s">
        <v>2226</v>
      </c>
    </row>
    <row r="305" spans="1:11" x14ac:dyDescent="0.25">
      <c r="A305" s="144" t="s">
        <v>1873</v>
      </c>
      <c r="B305" s="145">
        <v>1774</v>
      </c>
      <c r="C305" s="144" t="s">
        <v>1798</v>
      </c>
      <c r="D305" s="146">
        <v>100.09</v>
      </c>
      <c r="E305" s="144" t="s">
        <v>1799</v>
      </c>
      <c r="F305" s="144" t="s">
        <v>1800</v>
      </c>
      <c r="G305" s="144" t="s">
        <v>1801</v>
      </c>
      <c r="H305" s="144"/>
      <c r="I305" s="144" t="s">
        <v>1802</v>
      </c>
      <c r="J305" s="144" t="s">
        <v>1803</v>
      </c>
      <c r="K305" s="144" t="s">
        <v>2227</v>
      </c>
    </row>
    <row r="306" spans="1:11" x14ac:dyDescent="0.25">
      <c r="A306" s="144" t="s">
        <v>1873</v>
      </c>
      <c r="B306" s="145">
        <v>1775</v>
      </c>
      <c r="C306" s="144" t="s">
        <v>1798</v>
      </c>
      <c r="D306" s="146">
        <v>23.02</v>
      </c>
      <c r="E306" s="144" t="s">
        <v>1799</v>
      </c>
      <c r="F306" s="144" t="s">
        <v>1800</v>
      </c>
      <c r="G306" s="144" t="s">
        <v>1801</v>
      </c>
      <c r="H306" s="144"/>
      <c r="I306" s="144" t="s">
        <v>1802</v>
      </c>
      <c r="J306" s="144" t="s">
        <v>1803</v>
      </c>
      <c r="K306" s="144" t="s">
        <v>2228</v>
      </c>
    </row>
    <row r="307" spans="1:11" x14ac:dyDescent="0.25">
      <c r="A307" s="144" t="s">
        <v>1918</v>
      </c>
      <c r="B307" s="145">
        <v>2471</v>
      </c>
      <c r="C307" s="144" t="s">
        <v>1798</v>
      </c>
      <c r="D307" s="146">
        <v>35.03</v>
      </c>
      <c r="E307" s="144" t="s">
        <v>1799</v>
      </c>
      <c r="F307" s="144" t="s">
        <v>1800</v>
      </c>
      <c r="G307" s="144" t="s">
        <v>1801</v>
      </c>
      <c r="H307" s="144"/>
      <c r="I307" s="144" t="s">
        <v>1802</v>
      </c>
      <c r="J307" s="144" t="s">
        <v>1803</v>
      </c>
      <c r="K307" s="144" t="s">
        <v>2229</v>
      </c>
    </row>
    <row r="308" spans="1:11" x14ac:dyDescent="0.25">
      <c r="A308" s="144" t="s">
        <v>1918</v>
      </c>
      <c r="B308" s="145">
        <v>2472</v>
      </c>
      <c r="C308" s="144" t="s">
        <v>1798</v>
      </c>
      <c r="D308" s="146">
        <v>8.01</v>
      </c>
      <c r="E308" s="144" t="s">
        <v>1799</v>
      </c>
      <c r="F308" s="144" t="s">
        <v>1800</v>
      </c>
      <c r="G308" s="144" t="s">
        <v>1801</v>
      </c>
      <c r="H308" s="144"/>
      <c r="I308" s="144" t="s">
        <v>1802</v>
      </c>
      <c r="J308" s="144" t="s">
        <v>1803</v>
      </c>
      <c r="K308" s="144" t="s">
        <v>2230</v>
      </c>
    </row>
    <row r="309" spans="1:11" x14ac:dyDescent="0.25">
      <c r="A309" s="144" t="s">
        <v>1918</v>
      </c>
      <c r="B309" s="145">
        <v>2473</v>
      </c>
      <c r="C309" s="144" t="s">
        <v>1798</v>
      </c>
      <c r="D309" s="146">
        <v>275.25</v>
      </c>
      <c r="E309" s="144" t="s">
        <v>1799</v>
      </c>
      <c r="F309" s="144" t="s">
        <v>1800</v>
      </c>
      <c r="G309" s="144" t="s">
        <v>1801</v>
      </c>
      <c r="H309" s="144"/>
      <c r="I309" s="144" t="s">
        <v>1802</v>
      </c>
      <c r="J309" s="144" t="s">
        <v>1803</v>
      </c>
      <c r="K309" s="144" t="s">
        <v>2231</v>
      </c>
    </row>
    <row r="310" spans="1:11" x14ac:dyDescent="0.25">
      <c r="A310" s="144" t="s">
        <v>1918</v>
      </c>
      <c r="B310" s="145">
        <v>2474</v>
      </c>
      <c r="C310" s="144" t="s">
        <v>1798</v>
      </c>
      <c r="D310" s="146">
        <v>87.08</v>
      </c>
      <c r="E310" s="144" t="s">
        <v>1799</v>
      </c>
      <c r="F310" s="144" t="s">
        <v>1800</v>
      </c>
      <c r="G310" s="144" t="s">
        <v>1801</v>
      </c>
      <c r="H310" s="144"/>
      <c r="I310" s="144" t="s">
        <v>1802</v>
      </c>
      <c r="J310" s="144" t="s">
        <v>1803</v>
      </c>
      <c r="K310" s="144" t="s">
        <v>2232</v>
      </c>
    </row>
    <row r="311" spans="1:11" x14ac:dyDescent="0.25">
      <c r="A311" s="144" t="s">
        <v>1918</v>
      </c>
      <c r="B311" s="145">
        <v>2475</v>
      </c>
      <c r="C311" s="144" t="s">
        <v>1798</v>
      </c>
      <c r="D311" s="146">
        <v>897.81</v>
      </c>
      <c r="E311" s="144" t="s">
        <v>1799</v>
      </c>
      <c r="F311" s="144" t="s">
        <v>1800</v>
      </c>
      <c r="G311" s="144" t="s">
        <v>1801</v>
      </c>
      <c r="H311" s="144"/>
      <c r="I311" s="144" t="s">
        <v>1802</v>
      </c>
      <c r="J311" s="144" t="s">
        <v>1803</v>
      </c>
      <c r="K311" s="144" t="s">
        <v>2233</v>
      </c>
    </row>
    <row r="312" spans="1:11" x14ac:dyDescent="0.25">
      <c r="A312" s="144" t="s">
        <v>1918</v>
      </c>
      <c r="B312" s="145">
        <v>2476</v>
      </c>
      <c r="C312" s="144" t="s">
        <v>1798</v>
      </c>
      <c r="D312" s="146">
        <v>550.5</v>
      </c>
      <c r="E312" s="144" t="s">
        <v>1799</v>
      </c>
      <c r="F312" s="144" t="s">
        <v>1800</v>
      </c>
      <c r="G312" s="144" t="s">
        <v>1801</v>
      </c>
      <c r="H312" s="144"/>
      <c r="I312" s="144" t="s">
        <v>1802</v>
      </c>
      <c r="J312" s="144" t="s">
        <v>1803</v>
      </c>
      <c r="K312" s="144" t="s">
        <v>2234</v>
      </c>
    </row>
    <row r="313" spans="1:11" x14ac:dyDescent="0.25">
      <c r="A313" s="144" t="s">
        <v>1918</v>
      </c>
      <c r="B313" s="145">
        <v>2477</v>
      </c>
      <c r="C313" s="144" t="s">
        <v>1798</v>
      </c>
      <c r="D313" s="146">
        <v>136.12</v>
      </c>
      <c r="E313" s="144" t="s">
        <v>1799</v>
      </c>
      <c r="F313" s="144" t="s">
        <v>1800</v>
      </c>
      <c r="G313" s="144" t="s">
        <v>1801</v>
      </c>
      <c r="H313" s="144"/>
      <c r="I313" s="144" t="s">
        <v>1802</v>
      </c>
      <c r="J313" s="144" t="s">
        <v>1803</v>
      </c>
      <c r="K313" s="144" t="s">
        <v>2235</v>
      </c>
    </row>
    <row r="314" spans="1:11" x14ac:dyDescent="0.25">
      <c r="A314" s="144" t="s">
        <v>1918</v>
      </c>
      <c r="B314" s="145">
        <v>2478</v>
      </c>
      <c r="C314" s="144" t="s">
        <v>1798</v>
      </c>
      <c r="D314" s="146">
        <v>20.02</v>
      </c>
      <c r="E314" s="144" t="s">
        <v>1799</v>
      </c>
      <c r="F314" s="144" t="s">
        <v>1800</v>
      </c>
      <c r="G314" s="144" t="s">
        <v>1801</v>
      </c>
      <c r="H314" s="144"/>
      <c r="I314" s="144" t="s">
        <v>1802</v>
      </c>
      <c r="J314" s="144" t="s">
        <v>1803</v>
      </c>
      <c r="K314" s="144" t="s">
        <v>2236</v>
      </c>
    </row>
    <row r="315" spans="1:11" x14ac:dyDescent="0.25">
      <c r="A315" s="144" t="s">
        <v>1918</v>
      </c>
      <c r="B315" s="145">
        <v>2479</v>
      </c>
      <c r="C315" s="144" t="s">
        <v>1798</v>
      </c>
      <c r="D315" s="146">
        <v>7.01</v>
      </c>
      <c r="E315" s="144" t="s">
        <v>1799</v>
      </c>
      <c r="F315" s="144" t="s">
        <v>1800</v>
      </c>
      <c r="G315" s="144" t="s">
        <v>1801</v>
      </c>
      <c r="H315" s="144"/>
      <c r="I315" s="144" t="s">
        <v>1802</v>
      </c>
      <c r="J315" s="144" t="s">
        <v>1803</v>
      </c>
      <c r="K315" s="144" t="s">
        <v>2237</v>
      </c>
    </row>
    <row r="316" spans="1:11" x14ac:dyDescent="0.25">
      <c r="A316" s="144" t="s">
        <v>1918</v>
      </c>
      <c r="B316" s="145">
        <v>2480</v>
      </c>
      <c r="C316" s="144" t="s">
        <v>1798</v>
      </c>
      <c r="D316" s="146">
        <v>6.01</v>
      </c>
      <c r="E316" s="144" t="s">
        <v>1799</v>
      </c>
      <c r="F316" s="144" t="s">
        <v>1800</v>
      </c>
      <c r="G316" s="144" t="s">
        <v>1801</v>
      </c>
      <c r="H316" s="144"/>
      <c r="I316" s="144" t="s">
        <v>1802</v>
      </c>
      <c r="J316" s="144" t="s">
        <v>1803</v>
      </c>
      <c r="K316" s="144" t="s">
        <v>2238</v>
      </c>
    </row>
    <row r="317" spans="1:11" x14ac:dyDescent="0.25">
      <c r="A317" s="144" t="s">
        <v>1918</v>
      </c>
      <c r="B317" s="145">
        <v>2481</v>
      </c>
      <c r="C317" s="144" t="s">
        <v>1798</v>
      </c>
      <c r="D317" s="146">
        <v>250.23</v>
      </c>
      <c r="E317" s="144" t="s">
        <v>1799</v>
      </c>
      <c r="F317" s="144" t="s">
        <v>1800</v>
      </c>
      <c r="G317" s="144" t="s">
        <v>1801</v>
      </c>
      <c r="H317" s="144"/>
      <c r="I317" s="144" t="s">
        <v>1802</v>
      </c>
      <c r="J317" s="144" t="s">
        <v>1803</v>
      </c>
      <c r="K317" s="144" t="s">
        <v>2239</v>
      </c>
    </row>
    <row r="318" spans="1:11" x14ac:dyDescent="0.25">
      <c r="A318" s="144" t="s">
        <v>1918</v>
      </c>
      <c r="B318" s="145">
        <v>2482</v>
      </c>
      <c r="C318" s="144" t="s">
        <v>1798</v>
      </c>
      <c r="D318" s="146">
        <v>1</v>
      </c>
      <c r="E318" s="144" t="s">
        <v>1799</v>
      </c>
      <c r="F318" s="144" t="s">
        <v>1800</v>
      </c>
      <c r="G318" s="144" t="s">
        <v>1801</v>
      </c>
      <c r="H318" s="144"/>
      <c r="I318" s="144" t="s">
        <v>1802</v>
      </c>
      <c r="J318" s="144" t="s">
        <v>1803</v>
      </c>
      <c r="K318" s="144" t="s">
        <v>2240</v>
      </c>
    </row>
    <row r="319" spans="1:11" x14ac:dyDescent="0.25">
      <c r="A319" s="144" t="s">
        <v>1918</v>
      </c>
      <c r="B319" s="145">
        <v>2483</v>
      </c>
      <c r="C319" s="144" t="s">
        <v>1798</v>
      </c>
      <c r="D319" s="146">
        <v>5</v>
      </c>
      <c r="E319" s="144" t="s">
        <v>1799</v>
      </c>
      <c r="F319" s="144" t="s">
        <v>1800</v>
      </c>
      <c r="G319" s="144" t="s">
        <v>1801</v>
      </c>
      <c r="H319" s="144"/>
      <c r="I319" s="144" t="s">
        <v>1802</v>
      </c>
      <c r="J319" s="144" t="s">
        <v>1803</v>
      </c>
      <c r="K319" s="144" t="s">
        <v>2241</v>
      </c>
    </row>
    <row r="320" spans="1:11" x14ac:dyDescent="0.25">
      <c r="A320" s="144" t="s">
        <v>1918</v>
      </c>
      <c r="B320" s="145">
        <v>2484</v>
      </c>
      <c r="C320" s="144" t="s">
        <v>1798</v>
      </c>
      <c r="D320" s="146">
        <v>28.03</v>
      </c>
      <c r="E320" s="144" t="s">
        <v>1799</v>
      </c>
      <c r="F320" s="144" t="s">
        <v>1800</v>
      </c>
      <c r="G320" s="144" t="s">
        <v>1801</v>
      </c>
      <c r="H320" s="144"/>
      <c r="I320" s="144" t="s">
        <v>1802</v>
      </c>
      <c r="J320" s="144" t="s">
        <v>1803</v>
      </c>
      <c r="K320" s="144" t="s">
        <v>2242</v>
      </c>
    </row>
    <row r="321" spans="1:11" x14ac:dyDescent="0.25">
      <c r="A321" s="144" t="s">
        <v>1918</v>
      </c>
      <c r="B321" s="145">
        <v>2485</v>
      </c>
      <c r="C321" s="144" t="s">
        <v>1798</v>
      </c>
      <c r="D321" s="146">
        <v>11.01</v>
      </c>
      <c r="E321" s="144" t="s">
        <v>1799</v>
      </c>
      <c r="F321" s="144" t="s">
        <v>1800</v>
      </c>
      <c r="G321" s="144" t="s">
        <v>1801</v>
      </c>
      <c r="H321" s="144"/>
      <c r="I321" s="144" t="s">
        <v>1802</v>
      </c>
      <c r="J321" s="144" t="s">
        <v>1803</v>
      </c>
      <c r="K321" s="144" t="s">
        <v>2243</v>
      </c>
    </row>
    <row r="322" spans="1:11" x14ac:dyDescent="0.25">
      <c r="A322" s="144" t="s">
        <v>1918</v>
      </c>
      <c r="B322" s="145">
        <v>2486</v>
      </c>
      <c r="C322" s="144" t="s">
        <v>1798</v>
      </c>
      <c r="D322" s="146">
        <v>334.3</v>
      </c>
      <c r="E322" s="144" t="s">
        <v>1799</v>
      </c>
      <c r="F322" s="144" t="s">
        <v>1800</v>
      </c>
      <c r="G322" s="144" t="s">
        <v>1801</v>
      </c>
      <c r="H322" s="144"/>
      <c r="I322" s="144" t="s">
        <v>1802</v>
      </c>
      <c r="J322" s="144" t="s">
        <v>1803</v>
      </c>
      <c r="K322" s="144" t="s">
        <v>2244</v>
      </c>
    </row>
    <row r="323" spans="1:11" x14ac:dyDescent="0.25">
      <c r="A323" s="144" t="s">
        <v>1918</v>
      </c>
      <c r="B323" s="145">
        <v>2487</v>
      </c>
      <c r="C323" s="144" t="s">
        <v>1798</v>
      </c>
      <c r="D323" s="146">
        <v>248.22</v>
      </c>
      <c r="E323" s="144" t="s">
        <v>1799</v>
      </c>
      <c r="F323" s="144" t="s">
        <v>1800</v>
      </c>
      <c r="G323" s="144" t="s">
        <v>1801</v>
      </c>
      <c r="H323" s="144"/>
      <c r="I323" s="144" t="s">
        <v>1802</v>
      </c>
      <c r="J323" s="144" t="s">
        <v>1803</v>
      </c>
      <c r="K323" s="144" t="s">
        <v>2245</v>
      </c>
    </row>
    <row r="324" spans="1:11" x14ac:dyDescent="0.25">
      <c r="A324" s="144" t="s">
        <v>1918</v>
      </c>
      <c r="B324" s="145">
        <v>2488</v>
      </c>
      <c r="C324" s="144" t="s">
        <v>1798</v>
      </c>
      <c r="D324" s="146">
        <v>400.36</v>
      </c>
      <c r="E324" s="144" t="s">
        <v>1799</v>
      </c>
      <c r="F324" s="144" t="s">
        <v>1800</v>
      </c>
      <c r="G324" s="144" t="s">
        <v>1801</v>
      </c>
      <c r="H324" s="144"/>
      <c r="I324" s="144" t="s">
        <v>1802</v>
      </c>
      <c r="J324" s="144" t="s">
        <v>1803</v>
      </c>
      <c r="K324" s="144" t="s">
        <v>2246</v>
      </c>
    </row>
    <row r="325" spans="1:11" x14ac:dyDescent="0.25">
      <c r="A325" s="144" t="s">
        <v>1918</v>
      </c>
      <c r="B325" s="145">
        <v>2490</v>
      </c>
      <c r="C325" s="144" t="s">
        <v>1798</v>
      </c>
      <c r="D325" s="146">
        <v>8.01</v>
      </c>
      <c r="E325" s="144" t="s">
        <v>1799</v>
      </c>
      <c r="F325" s="144" t="s">
        <v>1800</v>
      </c>
      <c r="G325" s="144" t="s">
        <v>1801</v>
      </c>
      <c r="H325" s="144"/>
      <c r="I325" s="144" t="s">
        <v>1802</v>
      </c>
      <c r="J325" s="144" t="s">
        <v>1803</v>
      </c>
      <c r="K325" s="144" t="s">
        <v>2247</v>
      </c>
    </row>
    <row r="326" spans="1:11" x14ac:dyDescent="0.25">
      <c r="A326" s="144" t="s">
        <v>1918</v>
      </c>
      <c r="B326" s="145">
        <v>2491</v>
      </c>
      <c r="C326" s="144" t="s">
        <v>1798</v>
      </c>
      <c r="D326" s="146">
        <v>94.08</v>
      </c>
      <c r="E326" s="144" t="s">
        <v>1799</v>
      </c>
      <c r="F326" s="144" t="s">
        <v>1800</v>
      </c>
      <c r="G326" s="144" t="s">
        <v>1801</v>
      </c>
      <c r="H326" s="144"/>
      <c r="I326" s="144" t="s">
        <v>1802</v>
      </c>
      <c r="J326" s="144" t="s">
        <v>1803</v>
      </c>
      <c r="K326" s="144" t="s">
        <v>2248</v>
      </c>
    </row>
    <row r="327" spans="1:11" x14ac:dyDescent="0.25">
      <c r="A327" s="144" t="s">
        <v>1918</v>
      </c>
      <c r="B327" s="145">
        <v>2492</v>
      </c>
      <c r="C327" s="144" t="s">
        <v>1798</v>
      </c>
      <c r="D327" s="146">
        <v>106.1</v>
      </c>
      <c r="E327" s="144" t="s">
        <v>1799</v>
      </c>
      <c r="F327" s="144" t="s">
        <v>1800</v>
      </c>
      <c r="G327" s="144" t="s">
        <v>1801</v>
      </c>
      <c r="H327" s="144"/>
      <c r="I327" s="144" t="s">
        <v>1802</v>
      </c>
      <c r="J327" s="144" t="s">
        <v>1803</v>
      </c>
      <c r="K327" s="144" t="s">
        <v>2249</v>
      </c>
    </row>
    <row r="328" spans="1:11" x14ac:dyDescent="0.25">
      <c r="A328" s="144" t="s">
        <v>1918</v>
      </c>
      <c r="B328" s="145">
        <v>2493</v>
      </c>
      <c r="C328" s="144" t="s">
        <v>1798</v>
      </c>
      <c r="D328" s="146">
        <v>658.59</v>
      </c>
      <c r="E328" s="144" t="s">
        <v>1799</v>
      </c>
      <c r="F328" s="144" t="s">
        <v>1800</v>
      </c>
      <c r="G328" s="144" t="s">
        <v>1801</v>
      </c>
      <c r="H328" s="144"/>
      <c r="I328" s="144" t="s">
        <v>1802</v>
      </c>
      <c r="J328" s="144" t="s">
        <v>1803</v>
      </c>
      <c r="K328" s="144" t="s">
        <v>2250</v>
      </c>
    </row>
    <row r="329" spans="1:11" x14ac:dyDescent="0.25">
      <c r="A329" s="144" t="s">
        <v>1918</v>
      </c>
      <c r="B329" s="145">
        <v>2494</v>
      </c>
      <c r="C329" s="144" t="s">
        <v>1798</v>
      </c>
      <c r="D329" s="146">
        <v>821.74</v>
      </c>
      <c r="E329" s="144" t="s">
        <v>1799</v>
      </c>
      <c r="F329" s="144" t="s">
        <v>1800</v>
      </c>
      <c r="G329" s="144" t="s">
        <v>1801</v>
      </c>
      <c r="H329" s="144"/>
      <c r="I329" s="144" t="s">
        <v>1802</v>
      </c>
      <c r="J329" s="144" t="s">
        <v>1803</v>
      </c>
      <c r="K329" s="144" t="s">
        <v>2251</v>
      </c>
    </row>
    <row r="330" spans="1:11" x14ac:dyDescent="0.25">
      <c r="A330" s="144" t="s">
        <v>1918</v>
      </c>
      <c r="B330" s="145">
        <v>2495</v>
      </c>
      <c r="C330" s="144" t="s">
        <v>1798</v>
      </c>
      <c r="D330" s="147">
        <v>2207.9899999999998</v>
      </c>
      <c r="E330" s="144" t="s">
        <v>1799</v>
      </c>
      <c r="F330" s="144" t="s">
        <v>1800</v>
      </c>
      <c r="G330" s="144" t="s">
        <v>1801</v>
      </c>
      <c r="H330" s="144"/>
      <c r="I330" s="144" t="s">
        <v>1802</v>
      </c>
      <c r="J330" s="144" t="s">
        <v>1803</v>
      </c>
      <c r="K330" s="144" t="s">
        <v>2252</v>
      </c>
    </row>
    <row r="331" spans="1:11" x14ac:dyDescent="0.25">
      <c r="A331" s="144" t="s">
        <v>1918</v>
      </c>
      <c r="B331" s="145">
        <v>2496</v>
      </c>
      <c r="C331" s="144" t="s">
        <v>1798</v>
      </c>
      <c r="D331" s="146">
        <v>650.59</v>
      </c>
      <c r="E331" s="144" t="s">
        <v>1799</v>
      </c>
      <c r="F331" s="144" t="s">
        <v>1800</v>
      </c>
      <c r="G331" s="144" t="s">
        <v>1801</v>
      </c>
      <c r="H331" s="144"/>
      <c r="I331" s="144" t="s">
        <v>1802</v>
      </c>
      <c r="J331" s="144" t="s">
        <v>1803</v>
      </c>
      <c r="K331" s="144" t="s">
        <v>2253</v>
      </c>
    </row>
    <row r="332" spans="1:11" x14ac:dyDescent="0.25">
      <c r="A332" s="144" t="s">
        <v>1918</v>
      </c>
      <c r="B332" s="145">
        <v>2497</v>
      </c>
      <c r="C332" s="144" t="s">
        <v>1798</v>
      </c>
      <c r="D332" s="146">
        <v>51.05</v>
      </c>
      <c r="E332" s="144" t="s">
        <v>1799</v>
      </c>
      <c r="F332" s="144" t="s">
        <v>1800</v>
      </c>
      <c r="G332" s="144" t="s">
        <v>1801</v>
      </c>
      <c r="H332" s="144"/>
      <c r="I332" s="144" t="s">
        <v>1802</v>
      </c>
      <c r="J332" s="144" t="s">
        <v>1803</v>
      </c>
      <c r="K332" s="144" t="s">
        <v>2254</v>
      </c>
    </row>
    <row r="333" spans="1:11" x14ac:dyDescent="0.25">
      <c r="A333" s="144" t="s">
        <v>1918</v>
      </c>
      <c r="B333" s="145">
        <v>2498</v>
      </c>
      <c r="C333" s="144" t="s">
        <v>1798</v>
      </c>
      <c r="D333" s="146">
        <v>78.069999999999993</v>
      </c>
      <c r="E333" s="144" t="s">
        <v>1799</v>
      </c>
      <c r="F333" s="144" t="s">
        <v>1800</v>
      </c>
      <c r="G333" s="144" t="s">
        <v>1801</v>
      </c>
      <c r="H333" s="144"/>
      <c r="I333" s="144" t="s">
        <v>1802</v>
      </c>
      <c r="J333" s="144" t="s">
        <v>1803</v>
      </c>
      <c r="K333" s="144" t="s">
        <v>2255</v>
      </c>
    </row>
    <row r="334" spans="1:11" x14ac:dyDescent="0.25">
      <c r="A334" s="144" t="s">
        <v>1918</v>
      </c>
      <c r="B334" s="145">
        <v>2499</v>
      </c>
      <c r="C334" s="144" t="s">
        <v>1798</v>
      </c>
      <c r="D334" s="146">
        <v>368.33</v>
      </c>
      <c r="E334" s="144" t="s">
        <v>1799</v>
      </c>
      <c r="F334" s="144" t="s">
        <v>1800</v>
      </c>
      <c r="G334" s="144" t="s">
        <v>1801</v>
      </c>
      <c r="H334" s="144"/>
      <c r="I334" s="144" t="s">
        <v>1802</v>
      </c>
      <c r="J334" s="144" t="s">
        <v>1803</v>
      </c>
      <c r="K334" s="144" t="s">
        <v>2256</v>
      </c>
    </row>
    <row r="335" spans="1:11" x14ac:dyDescent="0.25">
      <c r="A335" s="144" t="s">
        <v>1918</v>
      </c>
      <c r="B335" s="145">
        <v>2500</v>
      </c>
      <c r="C335" s="144" t="s">
        <v>1798</v>
      </c>
      <c r="D335" s="146">
        <v>137.12</v>
      </c>
      <c r="E335" s="144" t="s">
        <v>1799</v>
      </c>
      <c r="F335" s="144" t="s">
        <v>1800</v>
      </c>
      <c r="G335" s="144" t="s">
        <v>1801</v>
      </c>
      <c r="H335" s="144"/>
      <c r="I335" s="144" t="s">
        <v>1802</v>
      </c>
      <c r="J335" s="144" t="s">
        <v>1803</v>
      </c>
      <c r="K335" s="144" t="s">
        <v>2257</v>
      </c>
    </row>
    <row r="336" spans="1:11" x14ac:dyDescent="0.25">
      <c r="A336" s="144" t="s">
        <v>1918</v>
      </c>
      <c r="B336" s="145">
        <v>2501</v>
      </c>
      <c r="C336" s="144" t="s">
        <v>1798</v>
      </c>
      <c r="D336" s="146">
        <v>200.18</v>
      </c>
      <c r="E336" s="144" t="s">
        <v>1799</v>
      </c>
      <c r="F336" s="144" t="s">
        <v>1800</v>
      </c>
      <c r="G336" s="144" t="s">
        <v>1801</v>
      </c>
      <c r="H336" s="144"/>
      <c r="I336" s="144" t="s">
        <v>1802</v>
      </c>
      <c r="J336" s="144" t="s">
        <v>1803</v>
      </c>
      <c r="K336" s="144" t="s">
        <v>2258</v>
      </c>
    </row>
    <row r="337" spans="1:11" x14ac:dyDescent="0.25">
      <c r="A337" s="144" t="s">
        <v>1918</v>
      </c>
      <c r="B337" s="145">
        <v>2502</v>
      </c>
      <c r="C337" s="144" t="s">
        <v>1798</v>
      </c>
      <c r="D337" s="146">
        <v>372.33</v>
      </c>
      <c r="E337" s="144" t="s">
        <v>1799</v>
      </c>
      <c r="F337" s="144" t="s">
        <v>1800</v>
      </c>
      <c r="G337" s="144" t="s">
        <v>1801</v>
      </c>
      <c r="H337" s="144"/>
      <c r="I337" s="144" t="s">
        <v>1802</v>
      </c>
      <c r="J337" s="144" t="s">
        <v>1803</v>
      </c>
      <c r="K337" s="144" t="s">
        <v>2259</v>
      </c>
    </row>
    <row r="338" spans="1:11" x14ac:dyDescent="0.25">
      <c r="A338" s="144" t="s">
        <v>1918</v>
      </c>
      <c r="B338" s="145">
        <v>2503</v>
      </c>
      <c r="C338" s="144" t="s">
        <v>1798</v>
      </c>
      <c r="D338" s="146">
        <v>40.04</v>
      </c>
      <c r="E338" s="144" t="s">
        <v>1799</v>
      </c>
      <c r="F338" s="144" t="s">
        <v>1800</v>
      </c>
      <c r="G338" s="144" t="s">
        <v>1801</v>
      </c>
      <c r="H338" s="144"/>
      <c r="I338" s="144" t="s">
        <v>1802</v>
      </c>
      <c r="J338" s="144" t="s">
        <v>1803</v>
      </c>
      <c r="K338" s="144" t="s">
        <v>2260</v>
      </c>
    </row>
    <row r="339" spans="1:11" x14ac:dyDescent="0.25">
      <c r="A339" s="144" t="s">
        <v>1918</v>
      </c>
      <c r="B339" s="145">
        <v>2504</v>
      </c>
      <c r="C339" s="144" t="s">
        <v>1798</v>
      </c>
      <c r="D339" s="147">
        <v>3867.48</v>
      </c>
      <c r="E339" s="144" t="s">
        <v>1799</v>
      </c>
      <c r="F339" s="144" t="s">
        <v>1800</v>
      </c>
      <c r="G339" s="144" t="s">
        <v>1801</v>
      </c>
      <c r="H339" s="144"/>
      <c r="I339" s="144" t="s">
        <v>1802</v>
      </c>
      <c r="J339" s="144" t="s">
        <v>1803</v>
      </c>
      <c r="K339" s="144" t="s">
        <v>2261</v>
      </c>
    </row>
    <row r="340" spans="1:11" x14ac:dyDescent="0.25">
      <c r="A340" s="144" t="s">
        <v>1918</v>
      </c>
      <c r="B340" s="145">
        <v>2505</v>
      </c>
      <c r="C340" s="144" t="s">
        <v>1798</v>
      </c>
      <c r="D340" s="146">
        <v>269.24</v>
      </c>
      <c r="E340" s="144" t="s">
        <v>1799</v>
      </c>
      <c r="F340" s="144" t="s">
        <v>1800</v>
      </c>
      <c r="G340" s="144" t="s">
        <v>1801</v>
      </c>
      <c r="H340" s="144"/>
      <c r="I340" s="144" t="s">
        <v>1802</v>
      </c>
      <c r="J340" s="144" t="s">
        <v>1803</v>
      </c>
      <c r="K340" s="144" t="s">
        <v>2262</v>
      </c>
    </row>
    <row r="341" spans="1:11" x14ac:dyDescent="0.25">
      <c r="A341" s="144" t="s">
        <v>1918</v>
      </c>
      <c r="B341" s="145">
        <v>2506</v>
      </c>
      <c r="C341" s="144" t="s">
        <v>1798</v>
      </c>
      <c r="D341" s="146">
        <v>100.09</v>
      </c>
      <c r="E341" s="144" t="s">
        <v>1799</v>
      </c>
      <c r="F341" s="144" t="s">
        <v>1800</v>
      </c>
      <c r="G341" s="144" t="s">
        <v>1801</v>
      </c>
      <c r="H341" s="144"/>
      <c r="I341" s="144" t="s">
        <v>1802</v>
      </c>
      <c r="J341" s="144" t="s">
        <v>1803</v>
      </c>
      <c r="K341" s="144" t="s">
        <v>2263</v>
      </c>
    </row>
    <row r="342" spans="1:11" x14ac:dyDescent="0.25">
      <c r="A342" s="144" t="s">
        <v>1918</v>
      </c>
      <c r="B342" s="145">
        <v>2507</v>
      </c>
      <c r="C342" s="144" t="s">
        <v>1798</v>
      </c>
      <c r="D342" s="146">
        <v>143.13</v>
      </c>
      <c r="E342" s="144" t="s">
        <v>1799</v>
      </c>
      <c r="F342" s="144" t="s">
        <v>1800</v>
      </c>
      <c r="G342" s="144" t="s">
        <v>1801</v>
      </c>
      <c r="H342" s="144"/>
      <c r="I342" s="144" t="s">
        <v>1802</v>
      </c>
      <c r="J342" s="144" t="s">
        <v>1803</v>
      </c>
      <c r="K342" s="144" t="s">
        <v>2264</v>
      </c>
    </row>
    <row r="343" spans="1:11" x14ac:dyDescent="0.25">
      <c r="A343" s="144" t="s">
        <v>1966</v>
      </c>
      <c r="B343" s="145">
        <v>3190</v>
      </c>
      <c r="C343" s="144" t="s">
        <v>1798</v>
      </c>
      <c r="D343" s="146">
        <v>33.03</v>
      </c>
      <c r="E343" s="144" t="s">
        <v>1799</v>
      </c>
      <c r="F343" s="144" t="s">
        <v>1800</v>
      </c>
      <c r="G343" s="144" t="s">
        <v>1801</v>
      </c>
      <c r="H343" s="144"/>
      <c r="I343" s="144" t="s">
        <v>1802</v>
      </c>
      <c r="J343" s="144" t="s">
        <v>1803</v>
      </c>
      <c r="K343" s="144" t="s">
        <v>2265</v>
      </c>
    </row>
    <row r="344" spans="1:11" x14ac:dyDescent="0.25">
      <c r="A344" s="144" t="s">
        <v>1966</v>
      </c>
      <c r="B344" s="145">
        <v>3191</v>
      </c>
      <c r="C344" s="144" t="s">
        <v>1798</v>
      </c>
      <c r="D344" s="146">
        <v>37.03</v>
      </c>
      <c r="E344" s="144" t="s">
        <v>1799</v>
      </c>
      <c r="F344" s="144" t="s">
        <v>1800</v>
      </c>
      <c r="G344" s="144" t="s">
        <v>1801</v>
      </c>
      <c r="H344" s="144"/>
      <c r="I344" s="144" t="s">
        <v>1802</v>
      </c>
      <c r="J344" s="144" t="s">
        <v>1803</v>
      </c>
      <c r="K344" s="144" t="s">
        <v>2266</v>
      </c>
    </row>
    <row r="345" spans="1:11" x14ac:dyDescent="0.25">
      <c r="A345" s="144" t="s">
        <v>1966</v>
      </c>
      <c r="B345" s="145">
        <v>3192</v>
      </c>
      <c r="C345" s="144" t="s">
        <v>1798</v>
      </c>
      <c r="D345" s="146">
        <v>112.1</v>
      </c>
      <c r="E345" s="144" t="s">
        <v>1799</v>
      </c>
      <c r="F345" s="144" t="s">
        <v>1800</v>
      </c>
      <c r="G345" s="144" t="s">
        <v>1801</v>
      </c>
      <c r="H345" s="144"/>
      <c r="I345" s="144" t="s">
        <v>1802</v>
      </c>
      <c r="J345" s="144" t="s">
        <v>1803</v>
      </c>
      <c r="K345" s="144" t="s">
        <v>2267</v>
      </c>
    </row>
    <row r="346" spans="1:11" x14ac:dyDescent="0.25">
      <c r="A346" s="144" t="s">
        <v>1966</v>
      </c>
      <c r="B346" s="145">
        <v>3193</v>
      </c>
      <c r="C346" s="144" t="s">
        <v>1798</v>
      </c>
      <c r="D346" s="146">
        <v>528.48</v>
      </c>
      <c r="E346" s="144" t="s">
        <v>1799</v>
      </c>
      <c r="F346" s="144" t="s">
        <v>1800</v>
      </c>
      <c r="G346" s="144" t="s">
        <v>1801</v>
      </c>
      <c r="H346" s="144"/>
      <c r="I346" s="144" t="s">
        <v>1802</v>
      </c>
      <c r="J346" s="144" t="s">
        <v>1803</v>
      </c>
      <c r="K346" s="144" t="s">
        <v>2268</v>
      </c>
    </row>
    <row r="347" spans="1:11" x14ac:dyDescent="0.25">
      <c r="A347" s="144" t="s">
        <v>1966</v>
      </c>
      <c r="B347" s="145">
        <v>3194</v>
      </c>
      <c r="C347" s="144" t="s">
        <v>1798</v>
      </c>
      <c r="D347" s="146">
        <v>498.45</v>
      </c>
      <c r="E347" s="144" t="s">
        <v>1799</v>
      </c>
      <c r="F347" s="144" t="s">
        <v>1800</v>
      </c>
      <c r="G347" s="144" t="s">
        <v>1801</v>
      </c>
      <c r="H347" s="144"/>
      <c r="I347" s="144" t="s">
        <v>1802</v>
      </c>
      <c r="J347" s="144" t="s">
        <v>1803</v>
      </c>
      <c r="K347" s="144" t="s">
        <v>2269</v>
      </c>
    </row>
    <row r="348" spans="1:11" x14ac:dyDescent="0.25">
      <c r="A348" s="144" t="s">
        <v>1966</v>
      </c>
      <c r="B348" s="145">
        <v>3195</v>
      </c>
      <c r="C348" s="144" t="s">
        <v>1798</v>
      </c>
      <c r="D348" s="146">
        <v>283.25</v>
      </c>
      <c r="E348" s="144" t="s">
        <v>1799</v>
      </c>
      <c r="F348" s="144" t="s">
        <v>1800</v>
      </c>
      <c r="G348" s="144" t="s">
        <v>1801</v>
      </c>
      <c r="H348" s="144"/>
      <c r="I348" s="144" t="s">
        <v>1802</v>
      </c>
      <c r="J348" s="144" t="s">
        <v>1803</v>
      </c>
      <c r="K348" s="144" t="s">
        <v>2270</v>
      </c>
    </row>
    <row r="349" spans="1:11" x14ac:dyDescent="0.25">
      <c r="A349" s="144" t="s">
        <v>1966</v>
      </c>
      <c r="B349" s="145">
        <v>3196</v>
      </c>
      <c r="C349" s="144" t="s">
        <v>1798</v>
      </c>
      <c r="D349" s="146">
        <v>52.05</v>
      </c>
      <c r="E349" s="144" t="s">
        <v>1799</v>
      </c>
      <c r="F349" s="144" t="s">
        <v>1800</v>
      </c>
      <c r="G349" s="144" t="s">
        <v>1801</v>
      </c>
      <c r="H349" s="144"/>
      <c r="I349" s="144" t="s">
        <v>1802</v>
      </c>
      <c r="J349" s="144" t="s">
        <v>1803</v>
      </c>
      <c r="K349" s="144" t="s">
        <v>2271</v>
      </c>
    </row>
    <row r="350" spans="1:11" x14ac:dyDescent="0.25">
      <c r="A350" s="144" t="s">
        <v>1966</v>
      </c>
      <c r="B350" s="145">
        <v>3197</v>
      </c>
      <c r="C350" s="144" t="s">
        <v>1798</v>
      </c>
      <c r="D350" s="146">
        <v>13.01</v>
      </c>
      <c r="E350" s="144" t="s">
        <v>1799</v>
      </c>
      <c r="F350" s="144" t="s">
        <v>1800</v>
      </c>
      <c r="G350" s="144" t="s">
        <v>1801</v>
      </c>
      <c r="H350" s="144"/>
      <c r="I350" s="144" t="s">
        <v>1802</v>
      </c>
      <c r="J350" s="144" t="s">
        <v>1803</v>
      </c>
      <c r="K350" s="144" t="s">
        <v>2272</v>
      </c>
    </row>
    <row r="351" spans="1:11" x14ac:dyDescent="0.25">
      <c r="A351" s="144" t="s">
        <v>1966</v>
      </c>
      <c r="B351" s="145">
        <v>3198</v>
      </c>
      <c r="C351" s="144" t="s">
        <v>1798</v>
      </c>
      <c r="D351" s="146">
        <v>2</v>
      </c>
      <c r="E351" s="144" t="s">
        <v>1799</v>
      </c>
      <c r="F351" s="144" t="s">
        <v>1800</v>
      </c>
      <c r="G351" s="144" t="s">
        <v>1801</v>
      </c>
      <c r="H351" s="144"/>
      <c r="I351" s="144" t="s">
        <v>1802</v>
      </c>
      <c r="J351" s="144" t="s">
        <v>1803</v>
      </c>
      <c r="K351" s="144" t="s">
        <v>2273</v>
      </c>
    </row>
    <row r="352" spans="1:11" x14ac:dyDescent="0.25">
      <c r="A352" s="144" t="s">
        <v>1966</v>
      </c>
      <c r="B352" s="145">
        <v>3199</v>
      </c>
      <c r="C352" s="144" t="s">
        <v>1798</v>
      </c>
      <c r="D352" s="146">
        <v>268.24</v>
      </c>
      <c r="E352" s="144" t="s">
        <v>1799</v>
      </c>
      <c r="F352" s="144" t="s">
        <v>1800</v>
      </c>
      <c r="G352" s="144" t="s">
        <v>1801</v>
      </c>
      <c r="H352" s="144"/>
      <c r="I352" s="144" t="s">
        <v>1802</v>
      </c>
      <c r="J352" s="144" t="s">
        <v>1803</v>
      </c>
      <c r="K352" s="144" t="s">
        <v>2274</v>
      </c>
    </row>
    <row r="353" spans="1:11" x14ac:dyDescent="0.25">
      <c r="A353" s="144" t="s">
        <v>1966</v>
      </c>
      <c r="B353" s="145">
        <v>3200</v>
      </c>
      <c r="C353" s="144" t="s">
        <v>1798</v>
      </c>
      <c r="D353" s="146">
        <v>45.04</v>
      </c>
      <c r="E353" s="144" t="s">
        <v>1799</v>
      </c>
      <c r="F353" s="144" t="s">
        <v>1800</v>
      </c>
      <c r="G353" s="144" t="s">
        <v>1801</v>
      </c>
      <c r="H353" s="144"/>
      <c r="I353" s="144" t="s">
        <v>1802</v>
      </c>
      <c r="J353" s="144" t="s">
        <v>1803</v>
      </c>
      <c r="K353" s="144" t="s">
        <v>2275</v>
      </c>
    </row>
    <row r="354" spans="1:11" x14ac:dyDescent="0.25">
      <c r="A354" s="144" t="s">
        <v>1966</v>
      </c>
      <c r="B354" s="145">
        <v>3201</v>
      </c>
      <c r="C354" s="144" t="s">
        <v>1798</v>
      </c>
      <c r="D354" s="146">
        <v>162.15</v>
      </c>
      <c r="E354" s="144" t="s">
        <v>1799</v>
      </c>
      <c r="F354" s="144" t="s">
        <v>1800</v>
      </c>
      <c r="G354" s="144" t="s">
        <v>1801</v>
      </c>
      <c r="H354" s="144"/>
      <c r="I354" s="144" t="s">
        <v>1802</v>
      </c>
      <c r="J354" s="144" t="s">
        <v>1803</v>
      </c>
      <c r="K354" s="144" t="s">
        <v>2276</v>
      </c>
    </row>
    <row r="355" spans="1:11" x14ac:dyDescent="0.25">
      <c r="A355" s="144" t="s">
        <v>1966</v>
      </c>
      <c r="B355" s="145">
        <v>3202</v>
      </c>
      <c r="C355" s="144" t="s">
        <v>1798</v>
      </c>
      <c r="D355" s="146">
        <v>284.26</v>
      </c>
      <c r="E355" s="144" t="s">
        <v>1799</v>
      </c>
      <c r="F355" s="144" t="s">
        <v>1800</v>
      </c>
      <c r="G355" s="144" t="s">
        <v>1801</v>
      </c>
      <c r="H355" s="144"/>
      <c r="I355" s="144" t="s">
        <v>1802</v>
      </c>
      <c r="J355" s="144" t="s">
        <v>1803</v>
      </c>
      <c r="K355" s="144" t="s">
        <v>2277</v>
      </c>
    </row>
    <row r="356" spans="1:11" x14ac:dyDescent="0.25">
      <c r="A356" s="144" t="s">
        <v>1966</v>
      </c>
      <c r="B356" s="145">
        <v>3203</v>
      </c>
      <c r="C356" s="144" t="s">
        <v>1798</v>
      </c>
      <c r="D356" s="146">
        <v>18.02</v>
      </c>
      <c r="E356" s="144" t="s">
        <v>1799</v>
      </c>
      <c r="F356" s="144" t="s">
        <v>1800</v>
      </c>
      <c r="G356" s="144" t="s">
        <v>1801</v>
      </c>
      <c r="H356" s="144"/>
      <c r="I356" s="144" t="s">
        <v>1802</v>
      </c>
      <c r="J356" s="144" t="s">
        <v>1803</v>
      </c>
      <c r="K356" s="144" t="s">
        <v>2278</v>
      </c>
    </row>
    <row r="357" spans="1:11" x14ac:dyDescent="0.25">
      <c r="A357" s="144" t="s">
        <v>1966</v>
      </c>
      <c r="B357" s="145">
        <v>3204</v>
      </c>
      <c r="C357" s="144" t="s">
        <v>1798</v>
      </c>
      <c r="D357" s="146">
        <v>441.4</v>
      </c>
      <c r="E357" s="144" t="s">
        <v>1799</v>
      </c>
      <c r="F357" s="144" t="s">
        <v>1800</v>
      </c>
      <c r="G357" s="144" t="s">
        <v>1801</v>
      </c>
      <c r="H357" s="144"/>
      <c r="I357" s="144" t="s">
        <v>1802</v>
      </c>
      <c r="J357" s="144" t="s">
        <v>1803</v>
      </c>
      <c r="K357" s="144" t="s">
        <v>2279</v>
      </c>
    </row>
    <row r="358" spans="1:11" x14ac:dyDescent="0.25">
      <c r="A358" s="144" t="s">
        <v>1966</v>
      </c>
      <c r="B358" s="145">
        <v>3205</v>
      </c>
      <c r="C358" s="144" t="s">
        <v>1798</v>
      </c>
      <c r="D358" s="146">
        <v>88.08</v>
      </c>
      <c r="E358" s="144" t="s">
        <v>1799</v>
      </c>
      <c r="F358" s="144" t="s">
        <v>1800</v>
      </c>
      <c r="G358" s="144" t="s">
        <v>1801</v>
      </c>
      <c r="H358" s="144"/>
      <c r="I358" s="144" t="s">
        <v>1802</v>
      </c>
      <c r="J358" s="144" t="s">
        <v>1803</v>
      </c>
      <c r="K358" s="144" t="s">
        <v>2280</v>
      </c>
    </row>
    <row r="359" spans="1:11" x14ac:dyDescent="0.25">
      <c r="A359" s="144" t="s">
        <v>1966</v>
      </c>
      <c r="B359" s="145">
        <v>3206</v>
      </c>
      <c r="C359" s="144" t="s">
        <v>1798</v>
      </c>
      <c r="D359" s="146">
        <v>200.18</v>
      </c>
      <c r="E359" s="144" t="s">
        <v>1799</v>
      </c>
      <c r="F359" s="144" t="s">
        <v>1800</v>
      </c>
      <c r="G359" s="144" t="s">
        <v>1801</v>
      </c>
      <c r="H359" s="144"/>
      <c r="I359" s="144" t="s">
        <v>1802</v>
      </c>
      <c r="J359" s="144" t="s">
        <v>1803</v>
      </c>
      <c r="K359" s="144" t="s">
        <v>2281</v>
      </c>
    </row>
    <row r="360" spans="1:11" x14ac:dyDescent="0.25">
      <c r="A360" s="144" t="s">
        <v>1966</v>
      </c>
      <c r="B360" s="145">
        <v>3207</v>
      </c>
      <c r="C360" s="144" t="s">
        <v>1798</v>
      </c>
      <c r="D360" s="146">
        <v>22.02</v>
      </c>
      <c r="E360" s="144" t="s">
        <v>1799</v>
      </c>
      <c r="F360" s="144" t="s">
        <v>1800</v>
      </c>
      <c r="G360" s="144" t="s">
        <v>1801</v>
      </c>
      <c r="H360" s="144"/>
      <c r="I360" s="144" t="s">
        <v>1802</v>
      </c>
      <c r="J360" s="144" t="s">
        <v>1803</v>
      </c>
      <c r="K360" s="144" t="s">
        <v>2282</v>
      </c>
    </row>
    <row r="361" spans="1:11" x14ac:dyDescent="0.25">
      <c r="D361" s="47">
        <f>SUM(D2:D360)</f>
        <v>168754582.48000023</v>
      </c>
    </row>
    <row r="363" spans="1:11" x14ac:dyDescent="0.25">
      <c r="A363" s="139" t="s">
        <v>1786</v>
      </c>
      <c r="B363" s="139" t="s">
        <v>1787</v>
      </c>
      <c r="C363" s="139" t="s">
        <v>1788</v>
      </c>
      <c r="D363" s="139" t="s">
        <v>1789</v>
      </c>
      <c r="E363" s="139" t="s">
        <v>1790</v>
      </c>
      <c r="F363" s="139" t="s">
        <v>1791</v>
      </c>
      <c r="G363" s="139" t="s">
        <v>1792</v>
      </c>
      <c r="H363" s="139" t="s">
        <v>1793</v>
      </c>
      <c r="I363" s="139" t="s">
        <v>1794</v>
      </c>
      <c r="J363" s="139" t="s">
        <v>1795</v>
      </c>
      <c r="K363" s="139" t="s">
        <v>1796</v>
      </c>
    </row>
    <row r="364" spans="1:11" x14ac:dyDescent="0.25">
      <c r="A364" s="140" t="s">
        <v>1797</v>
      </c>
      <c r="B364" s="141">
        <v>23</v>
      </c>
      <c r="C364" s="140" t="s">
        <v>1798</v>
      </c>
      <c r="D364" s="142">
        <v>677173.34</v>
      </c>
      <c r="E364" s="140" t="s">
        <v>1799</v>
      </c>
      <c r="F364" s="140" t="s">
        <v>1800</v>
      </c>
      <c r="G364" s="140" t="s">
        <v>1801</v>
      </c>
      <c r="H364" s="140"/>
      <c r="I364" s="140" t="s">
        <v>1802</v>
      </c>
      <c r="J364" s="140" t="s">
        <v>1803</v>
      </c>
      <c r="K364" s="140" t="s">
        <v>2283</v>
      </c>
    </row>
    <row r="365" spans="1:11" x14ac:dyDescent="0.25">
      <c r="A365" s="140" t="s">
        <v>1797</v>
      </c>
      <c r="B365" s="141">
        <v>24</v>
      </c>
      <c r="C365" s="140" t="s">
        <v>1798</v>
      </c>
      <c r="D365" s="142">
        <v>75318.58</v>
      </c>
      <c r="E365" s="140" t="s">
        <v>1799</v>
      </c>
      <c r="F365" s="140" t="s">
        <v>1800</v>
      </c>
      <c r="G365" s="140" t="s">
        <v>1801</v>
      </c>
      <c r="H365" s="140"/>
      <c r="I365" s="140" t="s">
        <v>1802</v>
      </c>
      <c r="J365" s="140" t="s">
        <v>1803</v>
      </c>
      <c r="K365" s="140" t="s">
        <v>2284</v>
      </c>
    </row>
    <row r="366" spans="1:11" x14ac:dyDescent="0.25">
      <c r="A366" s="140" t="s">
        <v>1836</v>
      </c>
      <c r="B366" s="141">
        <v>728</v>
      </c>
      <c r="C366" s="140" t="s">
        <v>1798</v>
      </c>
      <c r="D366" s="142">
        <v>710010.09</v>
      </c>
      <c r="E366" s="140" t="s">
        <v>1799</v>
      </c>
      <c r="F366" s="140" t="s">
        <v>1800</v>
      </c>
      <c r="G366" s="140" t="s">
        <v>1801</v>
      </c>
      <c r="H366" s="140"/>
      <c r="I366" s="140" t="s">
        <v>1802</v>
      </c>
      <c r="J366" s="140" t="s">
        <v>1803</v>
      </c>
      <c r="K366" s="140" t="s">
        <v>2285</v>
      </c>
    </row>
    <row r="367" spans="1:11" x14ac:dyDescent="0.25">
      <c r="A367" s="140" t="s">
        <v>1836</v>
      </c>
      <c r="B367" s="141">
        <v>729</v>
      </c>
      <c r="C367" s="140" t="s">
        <v>1798</v>
      </c>
      <c r="D367" s="142">
        <v>78412.22</v>
      </c>
      <c r="E367" s="140" t="s">
        <v>1799</v>
      </c>
      <c r="F367" s="140" t="s">
        <v>1800</v>
      </c>
      <c r="G367" s="140" t="s">
        <v>1801</v>
      </c>
      <c r="H367" s="140"/>
      <c r="I367" s="140" t="s">
        <v>1802</v>
      </c>
      <c r="J367" s="140" t="s">
        <v>1803</v>
      </c>
      <c r="K367" s="140" t="s">
        <v>2286</v>
      </c>
    </row>
    <row r="368" spans="1:11" x14ac:dyDescent="0.25">
      <c r="A368" s="140" t="s">
        <v>1885</v>
      </c>
      <c r="B368" s="141">
        <v>1994</v>
      </c>
      <c r="C368" s="140" t="s">
        <v>1798</v>
      </c>
      <c r="D368" s="142">
        <v>77125.64</v>
      </c>
      <c r="E368" s="140" t="s">
        <v>1799</v>
      </c>
      <c r="F368" s="140" t="s">
        <v>1800</v>
      </c>
      <c r="G368" s="140" t="s">
        <v>1801</v>
      </c>
      <c r="H368" s="140"/>
      <c r="I368" s="140" t="s">
        <v>1802</v>
      </c>
      <c r="J368" s="140" t="s">
        <v>1803</v>
      </c>
      <c r="K368" s="140" t="s">
        <v>2287</v>
      </c>
    </row>
    <row r="369" spans="1:11" x14ac:dyDescent="0.25">
      <c r="A369" s="140" t="s">
        <v>1918</v>
      </c>
      <c r="B369" s="141">
        <v>2469</v>
      </c>
      <c r="C369" s="140" t="s">
        <v>1798</v>
      </c>
      <c r="D369" s="142">
        <v>702806.01</v>
      </c>
      <c r="E369" s="140" t="s">
        <v>1799</v>
      </c>
      <c r="F369" s="140" t="s">
        <v>1800</v>
      </c>
      <c r="G369" s="140" t="s">
        <v>1801</v>
      </c>
      <c r="H369" s="140"/>
      <c r="I369" s="140" t="s">
        <v>1802</v>
      </c>
      <c r="J369" s="140" t="s">
        <v>1803</v>
      </c>
      <c r="K369" s="140" t="s">
        <v>2288</v>
      </c>
    </row>
    <row r="370" spans="1:11" x14ac:dyDescent="0.25">
      <c r="A370" s="140" t="s">
        <v>1918</v>
      </c>
      <c r="B370" s="141">
        <v>2489</v>
      </c>
      <c r="C370" s="140" t="s">
        <v>1798</v>
      </c>
      <c r="D370" s="142">
        <v>72725.31</v>
      </c>
      <c r="E370" s="140" t="s">
        <v>1799</v>
      </c>
      <c r="F370" s="140" t="s">
        <v>1800</v>
      </c>
      <c r="G370" s="140" t="s">
        <v>1801</v>
      </c>
      <c r="H370" s="140"/>
      <c r="I370" s="140" t="s">
        <v>1802</v>
      </c>
      <c r="J370" s="140" t="s">
        <v>1803</v>
      </c>
      <c r="K370" s="140" t="s">
        <v>2289</v>
      </c>
    </row>
    <row r="371" spans="1:11" x14ac:dyDescent="0.25">
      <c r="A371" s="140" t="s">
        <v>1918</v>
      </c>
      <c r="B371" s="141">
        <v>2511</v>
      </c>
      <c r="C371" s="140" t="s">
        <v>1798</v>
      </c>
      <c r="D371" s="142">
        <v>79805.990000000005</v>
      </c>
      <c r="E371" s="140" t="s">
        <v>1812</v>
      </c>
      <c r="F371" s="140" t="s">
        <v>1800</v>
      </c>
      <c r="G371" s="140" t="s">
        <v>1801</v>
      </c>
      <c r="H371" s="140"/>
      <c r="I371" s="140" t="s">
        <v>1802</v>
      </c>
      <c r="J371" s="140" t="s">
        <v>1803</v>
      </c>
      <c r="K371" s="140" t="s">
        <v>2290</v>
      </c>
    </row>
    <row r="372" spans="1:11" x14ac:dyDescent="0.25">
      <c r="A372" s="140" t="s">
        <v>1926</v>
      </c>
      <c r="B372" s="141">
        <v>2573</v>
      </c>
      <c r="C372" s="140" t="s">
        <v>1798</v>
      </c>
      <c r="D372" s="142">
        <v>654693.96</v>
      </c>
      <c r="E372" s="140" t="s">
        <v>2291</v>
      </c>
      <c r="F372" s="140" t="s">
        <v>1800</v>
      </c>
      <c r="G372" s="140" t="s">
        <v>1801</v>
      </c>
      <c r="H372" s="140"/>
      <c r="I372" s="140" t="s">
        <v>1802</v>
      </c>
      <c r="J372" s="140" t="s">
        <v>1803</v>
      </c>
      <c r="K372" s="140" t="s">
        <v>2292</v>
      </c>
    </row>
    <row r="373" spans="1:11" x14ac:dyDescent="0.25">
      <c r="A373" s="140" t="s">
        <v>1977</v>
      </c>
      <c r="B373" s="141">
        <v>3404</v>
      </c>
      <c r="C373" s="140" t="s">
        <v>1798</v>
      </c>
      <c r="D373" s="142">
        <v>76313.759999999995</v>
      </c>
      <c r="E373" s="140" t="s">
        <v>1799</v>
      </c>
      <c r="F373" s="140" t="s">
        <v>1800</v>
      </c>
      <c r="G373" s="140" t="s">
        <v>1801</v>
      </c>
      <c r="H373" s="140"/>
      <c r="I373" s="140" t="s">
        <v>1802</v>
      </c>
      <c r="J373" s="140" t="s">
        <v>1803</v>
      </c>
      <c r="K373" s="140" t="s">
        <v>2293</v>
      </c>
    </row>
    <row r="374" spans="1:11" x14ac:dyDescent="0.25">
      <c r="A374" s="140" t="s">
        <v>1999</v>
      </c>
      <c r="B374" s="141">
        <v>3938</v>
      </c>
      <c r="C374" s="140" t="s">
        <v>1798</v>
      </c>
      <c r="D374" s="142">
        <v>78857.55</v>
      </c>
      <c r="E374" s="140" t="s">
        <v>1799</v>
      </c>
      <c r="F374" s="140" t="s">
        <v>1800</v>
      </c>
      <c r="G374" s="140" t="s">
        <v>1801</v>
      </c>
      <c r="H374" s="140"/>
      <c r="I374" s="140" t="s">
        <v>1802</v>
      </c>
      <c r="J374" s="140" t="s">
        <v>1803</v>
      </c>
      <c r="K374" s="140" t="s">
        <v>2294</v>
      </c>
    </row>
    <row r="375" spans="1:11" x14ac:dyDescent="0.25">
      <c r="A375" s="140" t="s">
        <v>2295</v>
      </c>
      <c r="B375" s="141">
        <v>14034</v>
      </c>
      <c r="C375" s="140" t="s">
        <v>1798</v>
      </c>
      <c r="D375" s="142">
        <v>159392.4</v>
      </c>
      <c r="E375" s="140" t="s">
        <v>1799</v>
      </c>
      <c r="F375" s="140" t="s">
        <v>1800</v>
      </c>
      <c r="G375" s="140" t="s">
        <v>1801</v>
      </c>
      <c r="H375" s="140"/>
      <c r="I375" s="140" t="s">
        <v>1802</v>
      </c>
      <c r="J375" s="140" t="s">
        <v>1803</v>
      </c>
      <c r="K375" s="140" t="s">
        <v>2296</v>
      </c>
    </row>
    <row r="376" spans="1:11" x14ac:dyDescent="0.25">
      <c r="A376" s="140" t="s">
        <v>2295</v>
      </c>
      <c r="B376" s="141">
        <v>14040</v>
      </c>
      <c r="C376" s="140" t="s">
        <v>1798</v>
      </c>
      <c r="D376" s="142">
        <v>570000</v>
      </c>
      <c r="E376" s="140" t="s">
        <v>1812</v>
      </c>
      <c r="F376" s="140" t="s">
        <v>1800</v>
      </c>
      <c r="G376" s="140" t="s">
        <v>1801</v>
      </c>
      <c r="H376" s="140"/>
      <c r="I376" s="140" t="s">
        <v>1802</v>
      </c>
      <c r="J376" s="140" t="s">
        <v>1803</v>
      </c>
      <c r="K376" s="140" t="s">
        <v>2297</v>
      </c>
    </row>
    <row r="377" spans="1:11" x14ac:dyDescent="0.25">
      <c r="A377" s="140" t="s">
        <v>2013</v>
      </c>
      <c r="B377" s="141">
        <v>14073</v>
      </c>
      <c r="C377" s="140" t="s">
        <v>1798</v>
      </c>
      <c r="D377" s="142">
        <v>34142.18</v>
      </c>
      <c r="E377" s="140" t="s">
        <v>1812</v>
      </c>
      <c r="F377" s="140" t="s">
        <v>1800</v>
      </c>
      <c r="G377" s="140" t="s">
        <v>1801</v>
      </c>
      <c r="H377" s="140"/>
      <c r="I377" s="140" t="s">
        <v>1802</v>
      </c>
      <c r="J377" s="140" t="s">
        <v>1803</v>
      </c>
      <c r="K377" s="140" t="s">
        <v>2298</v>
      </c>
    </row>
    <row r="378" spans="1:11" x14ac:dyDescent="0.25">
      <c r="A378" s="140" t="s">
        <v>2299</v>
      </c>
      <c r="B378" s="141">
        <v>14529</v>
      </c>
      <c r="C378" s="140" t="s">
        <v>1798</v>
      </c>
      <c r="D378" s="142">
        <v>675915.9</v>
      </c>
      <c r="E378" s="140" t="s">
        <v>1799</v>
      </c>
      <c r="F378" s="140" t="s">
        <v>1800</v>
      </c>
      <c r="G378" s="140" t="s">
        <v>1801</v>
      </c>
      <c r="H378" s="140"/>
      <c r="I378" s="140" t="s">
        <v>1802</v>
      </c>
      <c r="J378" s="140" t="s">
        <v>1803</v>
      </c>
      <c r="K378" s="140" t="s">
        <v>2300</v>
      </c>
    </row>
    <row r="379" spans="1:11" x14ac:dyDescent="0.25">
      <c r="A379" s="140" t="s">
        <v>2048</v>
      </c>
      <c r="B379" s="141">
        <v>14581</v>
      </c>
      <c r="C379" s="140" t="s">
        <v>1798</v>
      </c>
      <c r="D379" s="142">
        <v>551564.6</v>
      </c>
      <c r="E379" s="140" t="s">
        <v>1799</v>
      </c>
      <c r="F379" s="140" t="s">
        <v>1800</v>
      </c>
      <c r="G379" s="140" t="s">
        <v>1801</v>
      </c>
      <c r="H379" s="140"/>
      <c r="I379" s="140" t="s">
        <v>1802</v>
      </c>
      <c r="J379" s="140" t="s">
        <v>1803</v>
      </c>
      <c r="K379" s="140" t="s">
        <v>2301</v>
      </c>
    </row>
    <row r="380" spans="1:11" x14ac:dyDescent="0.25">
      <c r="A380" s="140" t="s">
        <v>2066</v>
      </c>
      <c r="B380" s="141">
        <v>14791</v>
      </c>
      <c r="C380" s="140" t="s">
        <v>1798</v>
      </c>
      <c r="D380" s="142">
        <v>318517.90000000002</v>
      </c>
      <c r="E380" s="140" t="s">
        <v>1799</v>
      </c>
      <c r="F380" s="140" t="s">
        <v>1800</v>
      </c>
      <c r="G380" s="140" t="s">
        <v>1801</v>
      </c>
      <c r="H380" s="140"/>
      <c r="I380" s="140" t="s">
        <v>1802</v>
      </c>
      <c r="J380" s="140" t="s">
        <v>1803</v>
      </c>
      <c r="K380" s="140" t="s">
        <v>2302</v>
      </c>
    </row>
    <row r="381" spans="1:11" x14ac:dyDescent="0.25">
      <c r="A381" s="140" t="s">
        <v>2084</v>
      </c>
      <c r="B381" s="141">
        <v>14855</v>
      </c>
      <c r="C381" s="140" t="s">
        <v>1798</v>
      </c>
      <c r="D381" s="142">
        <v>463961.48</v>
      </c>
      <c r="E381" s="140" t="s">
        <v>1799</v>
      </c>
      <c r="F381" s="140" t="s">
        <v>1800</v>
      </c>
      <c r="G381" s="140" t="s">
        <v>1801</v>
      </c>
      <c r="H381" s="140"/>
      <c r="I381" s="140" t="s">
        <v>1802</v>
      </c>
      <c r="J381" s="140" t="s">
        <v>1803</v>
      </c>
      <c r="K381" s="140" t="s">
        <v>2303</v>
      </c>
    </row>
    <row r="382" spans="1:11" x14ac:dyDescent="0.25">
      <c r="A382" s="140" t="s">
        <v>2084</v>
      </c>
      <c r="B382" s="141">
        <v>14856</v>
      </c>
      <c r="C382" s="140" t="s">
        <v>1798</v>
      </c>
      <c r="D382" s="142">
        <v>55729.31</v>
      </c>
      <c r="E382" s="140" t="s">
        <v>1799</v>
      </c>
      <c r="F382" s="140" t="s">
        <v>1800</v>
      </c>
      <c r="G382" s="140" t="s">
        <v>1801</v>
      </c>
      <c r="H382" s="140"/>
      <c r="I382" s="140" t="s">
        <v>1802</v>
      </c>
      <c r="J382" s="140" t="s">
        <v>1803</v>
      </c>
      <c r="K382" s="140" t="s">
        <v>2304</v>
      </c>
    </row>
    <row r="383" spans="1:11" x14ac:dyDescent="0.25">
      <c r="A383" s="140" t="s">
        <v>2103</v>
      </c>
      <c r="B383" s="141">
        <v>15079</v>
      </c>
      <c r="C383" s="140" t="s">
        <v>1798</v>
      </c>
      <c r="D383" s="142">
        <v>54398.66</v>
      </c>
      <c r="E383" s="140" t="s">
        <v>1799</v>
      </c>
      <c r="F383" s="140" t="s">
        <v>1800</v>
      </c>
      <c r="G383" s="140" t="s">
        <v>1801</v>
      </c>
      <c r="H383" s="140"/>
      <c r="I383" s="140" t="s">
        <v>1802</v>
      </c>
      <c r="J383" s="140" t="s">
        <v>1803</v>
      </c>
      <c r="K383" s="140" t="s">
        <v>2305</v>
      </c>
    </row>
    <row r="384" spans="1:11" x14ac:dyDescent="0.25">
      <c r="A384" s="140" t="s">
        <v>2106</v>
      </c>
      <c r="B384" s="141">
        <v>15093</v>
      </c>
      <c r="C384" s="140" t="s">
        <v>1798</v>
      </c>
      <c r="D384" s="142">
        <v>437066.15</v>
      </c>
      <c r="E384" s="140" t="s">
        <v>1799</v>
      </c>
      <c r="F384" s="140" t="s">
        <v>1800</v>
      </c>
      <c r="G384" s="140" t="s">
        <v>1801</v>
      </c>
      <c r="H384" s="140"/>
      <c r="I384" s="140" t="s">
        <v>1802</v>
      </c>
      <c r="J384" s="140" t="s">
        <v>1803</v>
      </c>
      <c r="K384" s="140" t="s">
        <v>2306</v>
      </c>
    </row>
    <row r="385" spans="1:11" x14ac:dyDescent="0.25">
      <c r="A385" s="140" t="s">
        <v>2116</v>
      </c>
      <c r="B385" s="141">
        <v>15255</v>
      </c>
      <c r="C385" s="140" t="s">
        <v>1798</v>
      </c>
      <c r="D385" s="142">
        <v>61824.92</v>
      </c>
      <c r="E385" s="140" t="s">
        <v>1799</v>
      </c>
      <c r="F385" s="140" t="s">
        <v>1800</v>
      </c>
      <c r="G385" s="140" t="s">
        <v>1801</v>
      </c>
      <c r="H385" s="140"/>
      <c r="I385" s="140" t="s">
        <v>1802</v>
      </c>
      <c r="J385" s="140" t="s">
        <v>1803</v>
      </c>
      <c r="K385" s="140" t="s">
        <v>2307</v>
      </c>
    </row>
    <row r="386" spans="1:11" x14ac:dyDescent="0.25">
      <c r="A386" s="140" t="s">
        <v>2136</v>
      </c>
      <c r="B386" s="141">
        <v>15413</v>
      </c>
      <c r="C386" s="140" t="s">
        <v>1798</v>
      </c>
      <c r="D386" s="142">
        <v>537080.81999999995</v>
      </c>
      <c r="E386" s="140" t="s">
        <v>1799</v>
      </c>
      <c r="F386" s="140" t="s">
        <v>1800</v>
      </c>
      <c r="G386" s="140" t="s">
        <v>1801</v>
      </c>
      <c r="H386" s="140"/>
      <c r="I386" s="140" t="s">
        <v>1802</v>
      </c>
      <c r="J386" s="140" t="s">
        <v>1803</v>
      </c>
      <c r="K386" s="140" t="s">
        <v>2308</v>
      </c>
    </row>
    <row r="387" spans="1:11" x14ac:dyDescent="0.25">
      <c r="A387" s="140" t="s">
        <v>2309</v>
      </c>
      <c r="B387" s="141">
        <v>15974</v>
      </c>
      <c r="C387" s="140" t="s">
        <v>1798</v>
      </c>
      <c r="D387" s="142">
        <v>76034.22</v>
      </c>
      <c r="E387" s="140" t="s">
        <v>1799</v>
      </c>
      <c r="F387" s="140" t="s">
        <v>1800</v>
      </c>
      <c r="G387" s="140" t="s">
        <v>1801</v>
      </c>
      <c r="H387" s="140"/>
      <c r="I387" s="140" t="s">
        <v>1802</v>
      </c>
      <c r="J387" s="140" t="s">
        <v>1803</v>
      </c>
      <c r="K387" s="140" t="s">
        <v>2310</v>
      </c>
    </row>
    <row r="388" spans="1:11" x14ac:dyDescent="0.25">
      <c r="A388" s="140" t="s">
        <v>2311</v>
      </c>
      <c r="B388" s="141">
        <v>15992</v>
      </c>
      <c r="C388" s="140" t="s">
        <v>1798</v>
      </c>
      <c r="D388" s="142">
        <v>688492.21</v>
      </c>
      <c r="E388" s="140" t="s">
        <v>1799</v>
      </c>
      <c r="F388" s="140" t="s">
        <v>1800</v>
      </c>
      <c r="G388" s="140" t="s">
        <v>1801</v>
      </c>
      <c r="H388" s="140"/>
      <c r="I388" s="140" t="s">
        <v>1802</v>
      </c>
      <c r="J388" s="140" t="s">
        <v>1803</v>
      </c>
      <c r="K388" s="140" t="s">
        <v>2312</v>
      </c>
    </row>
    <row r="389" spans="1:11" x14ac:dyDescent="0.25">
      <c r="D389" s="47">
        <f>SUM(D364:D388)</f>
        <v>7967363.2000000002</v>
      </c>
    </row>
    <row r="391" spans="1:11" x14ac:dyDescent="0.25">
      <c r="D391" s="47">
        <f>D361+D389</f>
        <v>176721945.68000022</v>
      </c>
      <c r="E391">
        <f>D361/D391</f>
        <v>0.95491582457774138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workbookViewId="0">
      <selection activeCell="E391" sqref="E391"/>
    </sheetView>
  </sheetViews>
  <sheetFormatPr defaultRowHeight="15.75" x14ac:dyDescent="0.25"/>
  <sheetData>
    <row r="1" spans="1:11" x14ac:dyDescent="0.25">
      <c r="A1" s="143" t="s">
        <v>1786</v>
      </c>
      <c r="B1" s="143" t="s">
        <v>1787</v>
      </c>
      <c r="C1" s="143" t="s">
        <v>1788</v>
      </c>
      <c r="D1" s="143" t="s">
        <v>1789</v>
      </c>
      <c r="E1" s="143" t="s">
        <v>1790</v>
      </c>
      <c r="F1" s="143" t="s">
        <v>1791</v>
      </c>
      <c r="G1" s="143" t="s">
        <v>1792</v>
      </c>
      <c r="H1" s="143" t="s">
        <v>1793</v>
      </c>
      <c r="I1" s="143" t="s">
        <v>1794</v>
      </c>
      <c r="J1" s="143" t="s">
        <v>1795</v>
      </c>
      <c r="K1" s="143" t="s">
        <v>1796</v>
      </c>
    </row>
    <row r="2" spans="1:11" x14ac:dyDescent="0.25">
      <c r="A2" s="144" t="s">
        <v>1797</v>
      </c>
      <c r="B2" s="145">
        <v>25</v>
      </c>
      <c r="C2" s="144" t="s">
        <v>1798</v>
      </c>
      <c r="D2" s="146">
        <v>8.01</v>
      </c>
      <c r="E2" s="144" t="s">
        <v>1799</v>
      </c>
      <c r="F2" s="144" t="s">
        <v>1800</v>
      </c>
      <c r="G2" s="144" t="s">
        <v>1801</v>
      </c>
      <c r="H2" s="144"/>
      <c r="I2" s="144" t="s">
        <v>1802</v>
      </c>
      <c r="J2" s="144" t="s">
        <v>1803</v>
      </c>
      <c r="K2" s="144" t="s">
        <v>2181</v>
      </c>
    </row>
    <row r="3" spans="1:11" x14ac:dyDescent="0.25">
      <c r="A3" s="144" t="s">
        <v>1797</v>
      </c>
      <c r="B3" s="145">
        <v>26</v>
      </c>
      <c r="C3" s="144" t="s">
        <v>1798</v>
      </c>
      <c r="D3" s="146">
        <v>3</v>
      </c>
      <c r="E3" s="144" t="s">
        <v>1799</v>
      </c>
      <c r="F3" s="144" t="s">
        <v>1800</v>
      </c>
      <c r="G3" s="144" t="s">
        <v>1801</v>
      </c>
      <c r="H3" s="144"/>
      <c r="I3" s="144" t="s">
        <v>1802</v>
      </c>
      <c r="J3" s="144" t="s">
        <v>1803</v>
      </c>
      <c r="K3" s="144" t="s">
        <v>2182</v>
      </c>
    </row>
    <row r="4" spans="1:11" x14ac:dyDescent="0.25">
      <c r="A4" s="144" t="s">
        <v>1797</v>
      </c>
      <c r="B4" s="145">
        <v>27</v>
      </c>
      <c r="C4" s="144" t="s">
        <v>1798</v>
      </c>
      <c r="D4" s="146">
        <v>29.03</v>
      </c>
      <c r="E4" s="144" t="s">
        <v>1799</v>
      </c>
      <c r="F4" s="144" t="s">
        <v>1800</v>
      </c>
      <c r="G4" s="144" t="s">
        <v>1801</v>
      </c>
      <c r="H4" s="144"/>
      <c r="I4" s="144" t="s">
        <v>1802</v>
      </c>
      <c r="J4" s="144" t="s">
        <v>1803</v>
      </c>
      <c r="K4" s="144" t="s">
        <v>2183</v>
      </c>
    </row>
    <row r="5" spans="1:11" x14ac:dyDescent="0.25">
      <c r="A5" s="144" t="s">
        <v>1797</v>
      </c>
      <c r="B5" s="145">
        <v>28</v>
      </c>
      <c r="C5" s="144" t="s">
        <v>1798</v>
      </c>
      <c r="D5" s="146">
        <v>267.27</v>
      </c>
      <c r="E5" s="144" t="s">
        <v>1799</v>
      </c>
      <c r="F5" s="144" t="s">
        <v>1800</v>
      </c>
      <c r="G5" s="144" t="s">
        <v>1801</v>
      </c>
      <c r="H5" s="144"/>
      <c r="I5" s="144" t="s">
        <v>1802</v>
      </c>
      <c r="J5" s="144" t="s">
        <v>1803</v>
      </c>
      <c r="K5" s="144" t="s">
        <v>2184</v>
      </c>
    </row>
    <row r="6" spans="1:11" x14ac:dyDescent="0.25">
      <c r="A6" s="144" t="s">
        <v>1797</v>
      </c>
      <c r="B6" s="145">
        <v>29</v>
      </c>
      <c r="C6" s="144" t="s">
        <v>1798</v>
      </c>
      <c r="D6" s="147">
        <v>9059.0499999999993</v>
      </c>
      <c r="E6" s="144" t="s">
        <v>1799</v>
      </c>
      <c r="F6" s="144" t="s">
        <v>1800</v>
      </c>
      <c r="G6" s="144" t="s">
        <v>1801</v>
      </c>
      <c r="H6" s="144"/>
      <c r="I6" s="144" t="s">
        <v>1802</v>
      </c>
      <c r="J6" s="144" t="s">
        <v>1803</v>
      </c>
      <c r="K6" s="144" t="s">
        <v>2185</v>
      </c>
    </row>
    <row r="7" spans="1:11" x14ac:dyDescent="0.25">
      <c r="A7" s="144" t="s">
        <v>1797</v>
      </c>
      <c r="B7" s="145">
        <v>30</v>
      </c>
      <c r="C7" s="144" t="s">
        <v>1798</v>
      </c>
      <c r="D7" s="146">
        <v>304.3</v>
      </c>
      <c r="E7" s="144" t="s">
        <v>1799</v>
      </c>
      <c r="F7" s="144" t="s">
        <v>1800</v>
      </c>
      <c r="G7" s="144" t="s">
        <v>1801</v>
      </c>
      <c r="H7" s="144"/>
      <c r="I7" s="144" t="s">
        <v>1802</v>
      </c>
      <c r="J7" s="144" t="s">
        <v>1803</v>
      </c>
      <c r="K7" s="144" t="s">
        <v>2186</v>
      </c>
    </row>
    <row r="8" spans="1:11" x14ac:dyDescent="0.25">
      <c r="A8" s="144" t="s">
        <v>1797</v>
      </c>
      <c r="B8" s="145">
        <v>31</v>
      </c>
      <c r="C8" s="144" t="s">
        <v>1798</v>
      </c>
      <c r="D8" s="147">
        <v>2595.59</v>
      </c>
      <c r="E8" s="144" t="s">
        <v>1799</v>
      </c>
      <c r="F8" s="144" t="s">
        <v>1800</v>
      </c>
      <c r="G8" s="144" t="s">
        <v>1801</v>
      </c>
      <c r="H8" s="144"/>
      <c r="I8" s="144" t="s">
        <v>1802</v>
      </c>
      <c r="J8" s="144" t="s">
        <v>1803</v>
      </c>
      <c r="K8" s="144" t="s">
        <v>2187</v>
      </c>
    </row>
    <row r="9" spans="1:11" x14ac:dyDescent="0.25">
      <c r="A9" s="144" t="s">
        <v>1797</v>
      </c>
      <c r="B9" s="145">
        <v>32</v>
      </c>
      <c r="C9" s="144" t="s">
        <v>1798</v>
      </c>
      <c r="D9" s="146">
        <v>204.2</v>
      </c>
      <c r="E9" s="144" t="s">
        <v>1799</v>
      </c>
      <c r="F9" s="144" t="s">
        <v>1800</v>
      </c>
      <c r="G9" s="144" t="s">
        <v>1801</v>
      </c>
      <c r="H9" s="144"/>
      <c r="I9" s="144" t="s">
        <v>1802</v>
      </c>
      <c r="J9" s="144" t="s">
        <v>1803</v>
      </c>
      <c r="K9" s="144" t="s">
        <v>2188</v>
      </c>
    </row>
    <row r="10" spans="1:11" x14ac:dyDescent="0.25">
      <c r="A10" s="144" t="s">
        <v>1797</v>
      </c>
      <c r="B10" s="145">
        <v>33</v>
      </c>
      <c r="C10" s="144" t="s">
        <v>1798</v>
      </c>
      <c r="D10" s="146">
        <v>289.29000000000002</v>
      </c>
      <c r="E10" s="144" t="s">
        <v>1799</v>
      </c>
      <c r="F10" s="144" t="s">
        <v>1800</v>
      </c>
      <c r="G10" s="144" t="s">
        <v>1801</v>
      </c>
      <c r="H10" s="144"/>
      <c r="I10" s="144" t="s">
        <v>1802</v>
      </c>
      <c r="J10" s="144" t="s">
        <v>1803</v>
      </c>
      <c r="K10" s="144" t="s">
        <v>2189</v>
      </c>
    </row>
    <row r="11" spans="1:11" x14ac:dyDescent="0.25">
      <c r="A11" s="144" t="s">
        <v>1797</v>
      </c>
      <c r="B11" s="145">
        <v>34</v>
      </c>
      <c r="C11" s="144" t="s">
        <v>1798</v>
      </c>
      <c r="D11" s="146">
        <v>17.02</v>
      </c>
      <c r="E11" s="144" t="s">
        <v>1799</v>
      </c>
      <c r="F11" s="144" t="s">
        <v>1800</v>
      </c>
      <c r="G11" s="144" t="s">
        <v>1801</v>
      </c>
      <c r="H11" s="144"/>
      <c r="I11" s="144" t="s">
        <v>1802</v>
      </c>
      <c r="J11" s="144" t="s">
        <v>1803</v>
      </c>
      <c r="K11" s="144" t="s">
        <v>2190</v>
      </c>
    </row>
    <row r="12" spans="1:11" x14ac:dyDescent="0.25">
      <c r="A12" s="144" t="s">
        <v>1797</v>
      </c>
      <c r="B12" s="145">
        <v>35</v>
      </c>
      <c r="C12" s="144" t="s">
        <v>1798</v>
      </c>
      <c r="D12" s="146">
        <v>305.31</v>
      </c>
      <c r="E12" s="144" t="s">
        <v>1799</v>
      </c>
      <c r="F12" s="144" t="s">
        <v>1800</v>
      </c>
      <c r="G12" s="144" t="s">
        <v>1801</v>
      </c>
      <c r="H12" s="144"/>
      <c r="I12" s="144" t="s">
        <v>1802</v>
      </c>
      <c r="J12" s="144" t="s">
        <v>1803</v>
      </c>
      <c r="K12" s="144" t="s">
        <v>2191</v>
      </c>
    </row>
    <row r="13" spans="1:11" x14ac:dyDescent="0.25">
      <c r="A13" s="144" t="s">
        <v>1797</v>
      </c>
      <c r="B13" s="145">
        <v>36</v>
      </c>
      <c r="C13" s="144" t="s">
        <v>1798</v>
      </c>
      <c r="D13" s="146">
        <v>29.03</v>
      </c>
      <c r="E13" s="144" t="s">
        <v>1799</v>
      </c>
      <c r="F13" s="144" t="s">
        <v>1800</v>
      </c>
      <c r="G13" s="144" t="s">
        <v>1801</v>
      </c>
      <c r="H13" s="144"/>
      <c r="I13" s="144" t="s">
        <v>1802</v>
      </c>
      <c r="J13" s="144" t="s">
        <v>1803</v>
      </c>
      <c r="K13" s="144" t="s">
        <v>2192</v>
      </c>
    </row>
    <row r="14" spans="1:11" x14ac:dyDescent="0.25">
      <c r="A14" s="144" t="s">
        <v>1797</v>
      </c>
      <c r="B14" s="145">
        <v>37</v>
      </c>
      <c r="C14" s="144" t="s">
        <v>1798</v>
      </c>
      <c r="D14" s="146">
        <v>41.04</v>
      </c>
      <c r="E14" s="144" t="s">
        <v>1799</v>
      </c>
      <c r="F14" s="144" t="s">
        <v>1800</v>
      </c>
      <c r="G14" s="144" t="s">
        <v>1801</v>
      </c>
      <c r="H14" s="144"/>
      <c r="I14" s="144" t="s">
        <v>1802</v>
      </c>
      <c r="J14" s="144" t="s">
        <v>1803</v>
      </c>
      <c r="K14" s="144" t="s">
        <v>2193</v>
      </c>
    </row>
    <row r="15" spans="1:11" x14ac:dyDescent="0.25">
      <c r="A15" s="144" t="s">
        <v>1797</v>
      </c>
      <c r="B15" s="145">
        <v>38</v>
      </c>
      <c r="C15" s="144" t="s">
        <v>1798</v>
      </c>
      <c r="D15" s="146">
        <v>293.29000000000002</v>
      </c>
      <c r="E15" s="144" t="s">
        <v>1799</v>
      </c>
      <c r="F15" s="144" t="s">
        <v>1800</v>
      </c>
      <c r="G15" s="144" t="s">
        <v>1801</v>
      </c>
      <c r="H15" s="144"/>
      <c r="I15" s="144" t="s">
        <v>1802</v>
      </c>
      <c r="J15" s="144" t="s">
        <v>1803</v>
      </c>
      <c r="K15" s="144" t="s">
        <v>2194</v>
      </c>
    </row>
    <row r="16" spans="1:11" x14ac:dyDescent="0.25">
      <c r="A16" s="144" t="s">
        <v>1836</v>
      </c>
      <c r="B16" s="145">
        <v>730</v>
      </c>
      <c r="C16" s="144" t="s">
        <v>1798</v>
      </c>
      <c r="D16" s="146">
        <v>8.01</v>
      </c>
      <c r="E16" s="144" t="s">
        <v>1799</v>
      </c>
      <c r="F16" s="144" t="s">
        <v>1800</v>
      </c>
      <c r="G16" s="144" t="s">
        <v>1801</v>
      </c>
      <c r="H16" s="144"/>
      <c r="I16" s="144" t="s">
        <v>1802</v>
      </c>
      <c r="J16" s="144" t="s">
        <v>1803</v>
      </c>
      <c r="K16" s="144" t="s">
        <v>2195</v>
      </c>
    </row>
    <row r="17" spans="1:11" x14ac:dyDescent="0.25">
      <c r="A17" s="144" t="s">
        <v>1836</v>
      </c>
      <c r="B17" s="145">
        <v>731</v>
      </c>
      <c r="C17" s="144" t="s">
        <v>1798</v>
      </c>
      <c r="D17" s="146">
        <v>19.02</v>
      </c>
      <c r="E17" s="144" t="s">
        <v>1799</v>
      </c>
      <c r="F17" s="144" t="s">
        <v>1800</v>
      </c>
      <c r="G17" s="144" t="s">
        <v>1801</v>
      </c>
      <c r="H17" s="144"/>
      <c r="I17" s="144" t="s">
        <v>1802</v>
      </c>
      <c r="J17" s="144" t="s">
        <v>1803</v>
      </c>
      <c r="K17" s="144" t="s">
        <v>2196</v>
      </c>
    </row>
    <row r="18" spans="1:11" x14ac:dyDescent="0.25">
      <c r="A18" s="144" t="s">
        <v>1836</v>
      </c>
      <c r="B18" s="145">
        <v>732</v>
      </c>
      <c r="C18" s="144" t="s">
        <v>1798</v>
      </c>
      <c r="D18" s="146">
        <v>44.04</v>
      </c>
      <c r="E18" s="144" t="s">
        <v>1799</v>
      </c>
      <c r="F18" s="144" t="s">
        <v>1800</v>
      </c>
      <c r="G18" s="144" t="s">
        <v>1801</v>
      </c>
      <c r="H18" s="144"/>
      <c r="I18" s="144" t="s">
        <v>1802</v>
      </c>
      <c r="J18" s="144" t="s">
        <v>1803</v>
      </c>
      <c r="K18" s="144" t="s">
        <v>2197</v>
      </c>
    </row>
    <row r="19" spans="1:11" x14ac:dyDescent="0.25">
      <c r="A19" s="144" t="s">
        <v>1836</v>
      </c>
      <c r="B19" s="145">
        <v>733</v>
      </c>
      <c r="C19" s="144" t="s">
        <v>1798</v>
      </c>
      <c r="D19" s="146">
        <v>243.24</v>
      </c>
      <c r="E19" s="144" t="s">
        <v>1799</v>
      </c>
      <c r="F19" s="144" t="s">
        <v>1800</v>
      </c>
      <c r="G19" s="144" t="s">
        <v>1801</v>
      </c>
      <c r="H19" s="144"/>
      <c r="I19" s="144" t="s">
        <v>1802</v>
      </c>
      <c r="J19" s="144" t="s">
        <v>1803</v>
      </c>
      <c r="K19" s="144" t="s">
        <v>2198</v>
      </c>
    </row>
    <row r="20" spans="1:11" x14ac:dyDescent="0.25">
      <c r="A20" s="144" t="s">
        <v>1836</v>
      </c>
      <c r="B20" s="145">
        <v>734</v>
      </c>
      <c r="C20" s="144" t="s">
        <v>1798</v>
      </c>
      <c r="D20" s="146">
        <v>758.76</v>
      </c>
      <c r="E20" s="144" t="s">
        <v>1799</v>
      </c>
      <c r="F20" s="144" t="s">
        <v>1800</v>
      </c>
      <c r="G20" s="144" t="s">
        <v>1801</v>
      </c>
      <c r="H20" s="144"/>
      <c r="I20" s="144" t="s">
        <v>1802</v>
      </c>
      <c r="J20" s="144" t="s">
        <v>1803</v>
      </c>
      <c r="K20" s="144" t="s">
        <v>2199</v>
      </c>
    </row>
    <row r="21" spans="1:11" x14ac:dyDescent="0.25">
      <c r="A21" s="144" t="s">
        <v>1836</v>
      </c>
      <c r="B21" s="145">
        <v>735</v>
      </c>
      <c r="C21" s="144" t="s">
        <v>1798</v>
      </c>
      <c r="D21" s="146">
        <v>668.67</v>
      </c>
      <c r="E21" s="144" t="s">
        <v>1799</v>
      </c>
      <c r="F21" s="144" t="s">
        <v>1800</v>
      </c>
      <c r="G21" s="144" t="s">
        <v>1801</v>
      </c>
      <c r="H21" s="144"/>
      <c r="I21" s="144" t="s">
        <v>1802</v>
      </c>
      <c r="J21" s="144" t="s">
        <v>1803</v>
      </c>
      <c r="K21" s="144" t="s">
        <v>2200</v>
      </c>
    </row>
    <row r="22" spans="1:11" x14ac:dyDescent="0.25">
      <c r="A22" s="144" t="s">
        <v>1836</v>
      </c>
      <c r="B22" s="145">
        <v>736</v>
      </c>
      <c r="C22" s="144" t="s">
        <v>1798</v>
      </c>
      <c r="D22" s="146">
        <v>41.04</v>
      </c>
      <c r="E22" s="144" t="s">
        <v>1799</v>
      </c>
      <c r="F22" s="144" t="s">
        <v>1800</v>
      </c>
      <c r="G22" s="144" t="s">
        <v>1801</v>
      </c>
      <c r="H22" s="144"/>
      <c r="I22" s="144" t="s">
        <v>1802</v>
      </c>
      <c r="J22" s="144" t="s">
        <v>1803</v>
      </c>
      <c r="K22" s="144" t="s">
        <v>2201</v>
      </c>
    </row>
    <row r="23" spans="1:11" x14ac:dyDescent="0.25">
      <c r="A23" s="144" t="s">
        <v>1836</v>
      </c>
      <c r="B23" s="145">
        <v>737</v>
      </c>
      <c r="C23" s="144" t="s">
        <v>1798</v>
      </c>
      <c r="D23" s="146">
        <v>44.04</v>
      </c>
      <c r="E23" s="144" t="s">
        <v>1799</v>
      </c>
      <c r="F23" s="144" t="s">
        <v>1800</v>
      </c>
      <c r="G23" s="144" t="s">
        <v>1801</v>
      </c>
      <c r="H23" s="144"/>
      <c r="I23" s="144" t="s">
        <v>1802</v>
      </c>
      <c r="J23" s="144" t="s">
        <v>1803</v>
      </c>
      <c r="K23" s="144" t="s">
        <v>2202</v>
      </c>
    </row>
    <row r="24" spans="1:11" x14ac:dyDescent="0.25">
      <c r="A24" s="144" t="s">
        <v>1836</v>
      </c>
      <c r="B24" s="145">
        <v>738</v>
      </c>
      <c r="C24" s="144" t="s">
        <v>1798</v>
      </c>
      <c r="D24" s="146">
        <v>330.33</v>
      </c>
      <c r="E24" s="144" t="s">
        <v>1799</v>
      </c>
      <c r="F24" s="144" t="s">
        <v>1800</v>
      </c>
      <c r="G24" s="144" t="s">
        <v>1801</v>
      </c>
      <c r="H24" s="144"/>
      <c r="I24" s="144" t="s">
        <v>1802</v>
      </c>
      <c r="J24" s="144" t="s">
        <v>1803</v>
      </c>
      <c r="K24" s="144" t="s">
        <v>2203</v>
      </c>
    </row>
    <row r="25" spans="1:11" x14ac:dyDescent="0.25">
      <c r="A25" s="144" t="s">
        <v>1836</v>
      </c>
      <c r="B25" s="145">
        <v>739</v>
      </c>
      <c r="C25" s="144" t="s">
        <v>1798</v>
      </c>
      <c r="D25" s="146">
        <v>3</v>
      </c>
      <c r="E25" s="144" t="s">
        <v>1799</v>
      </c>
      <c r="F25" s="144" t="s">
        <v>1800</v>
      </c>
      <c r="G25" s="144" t="s">
        <v>1801</v>
      </c>
      <c r="H25" s="144"/>
      <c r="I25" s="144" t="s">
        <v>1802</v>
      </c>
      <c r="J25" s="144" t="s">
        <v>1803</v>
      </c>
      <c r="K25" s="144" t="s">
        <v>2204</v>
      </c>
    </row>
    <row r="26" spans="1:11" x14ac:dyDescent="0.25">
      <c r="A26" s="144" t="s">
        <v>1836</v>
      </c>
      <c r="B26" s="145">
        <v>740</v>
      </c>
      <c r="C26" s="144" t="s">
        <v>1798</v>
      </c>
      <c r="D26" s="146">
        <v>59.06</v>
      </c>
      <c r="E26" s="144" t="s">
        <v>1799</v>
      </c>
      <c r="F26" s="144" t="s">
        <v>1800</v>
      </c>
      <c r="G26" s="144" t="s">
        <v>1801</v>
      </c>
      <c r="H26" s="144"/>
      <c r="I26" s="144" t="s">
        <v>1802</v>
      </c>
      <c r="J26" s="144" t="s">
        <v>1803</v>
      </c>
      <c r="K26" s="144" t="s">
        <v>2205</v>
      </c>
    </row>
    <row r="27" spans="1:11" x14ac:dyDescent="0.25">
      <c r="A27" s="144" t="s">
        <v>1836</v>
      </c>
      <c r="B27" s="145">
        <v>741</v>
      </c>
      <c r="C27" s="144" t="s">
        <v>1798</v>
      </c>
      <c r="D27" s="146">
        <v>28.03</v>
      </c>
      <c r="E27" s="144" t="s">
        <v>1799</v>
      </c>
      <c r="F27" s="144" t="s">
        <v>1800</v>
      </c>
      <c r="G27" s="144" t="s">
        <v>1801</v>
      </c>
      <c r="H27" s="144"/>
      <c r="I27" s="144" t="s">
        <v>1802</v>
      </c>
      <c r="J27" s="144" t="s">
        <v>1803</v>
      </c>
      <c r="K27" s="144" t="s">
        <v>2206</v>
      </c>
    </row>
    <row r="28" spans="1:11" x14ac:dyDescent="0.25">
      <c r="A28" s="144" t="s">
        <v>1836</v>
      </c>
      <c r="B28" s="145">
        <v>742</v>
      </c>
      <c r="C28" s="144" t="s">
        <v>1798</v>
      </c>
      <c r="D28" s="146">
        <v>38.04</v>
      </c>
      <c r="E28" s="144" t="s">
        <v>1799</v>
      </c>
      <c r="F28" s="144" t="s">
        <v>1800</v>
      </c>
      <c r="G28" s="144" t="s">
        <v>1801</v>
      </c>
      <c r="H28" s="144"/>
      <c r="I28" s="144" t="s">
        <v>1802</v>
      </c>
      <c r="J28" s="144" t="s">
        <v>1803</v>
      </c>
      <c r="K28" s="144" t="s">
        <v>2207</v>
      </c>
    </row>
    <row r="29" spans="1:11" x14ac:dyDescent="0.25">
      <c r="A29" s="144" t="s">
        <v>1836</v>
      </c>
      <c r="B29" s="145">
        <v>743</v>
      </c>
      <c r="C29" s="144" t="s">
        <v>1798</v>
      </c>
      <c r="D29" s="146">
        <v>308.31</v>
      </c>
      <c r="E29" s="144" t="s">
        <v>1799</v>
      </c>
      <c r="F29" s="144" t="s">
        <v>1800</v>
      </c>
      <c r="G29" s="144" t="s">
        <v>1801</v>
      </c>
      <c r="H29" s="144"/>
      <c r="I29" s="144" t="s">
        <v>1802</v>
      </c>
      <c r="J29" s="144" t="s">
        <v>1803</v>
      </c>
      <c r="K29" s="144" t="s">
        <v>2208</v>
      </c>
    </row>
    <row r="30" spans="1:11" x14ac:dyDescent="0.25">
      <c r="A30" s="144" t="s">
        <v>1836</v>
      </c>
      <c r="B30" s="145">
        <v>744</v>
      </c>
      <c r="C30" s="144" t="s">
        <v>1798</v>
      </c>
      <c r="D30" s="146">
        <v>207.21</v>
      </c>
      <c r="E30" s="144" t="s">
        <v>1799</v>
      </c>
      <c r="F30" s="144" t="s">
        <v>1800</v>
      </c>
      <c r="G30" s="144" t="s">
        <v>1801</v>
      </c>
      <c r="H30" s="144"/>
      <c r="I30" s="144" t="s">
        <v>1802</v>
      </c>
      <c r="J30" s="144" t="s">
        <v>1803</v>
      </c>
      <c r="K30" s="144" t="s">
        <v>2209</v>
      </c>
    </row>
    <row r="31" spans="1:11" x14ac:dyDescent="0.25">
      <c r="A31" s="144" t="s">
        <v>1836</v>
      </c>
      <c r="B31" s="145">
        <v>745</v>
      </c>
      <c r="C31" s="144" t="s">
        <v>1798</v>
      </c>
      <c r="D31" s="146">
        <v>100.1</v>
      </c>
      <c r="E31" s="144" t="s">
        <v>1799</v>
      </c>
      <c r="F31" s="144" t="s">
        <v>1800</v>
      </c>
      <c r="G31" s="144" t="s">
        <v>1801</v>
      </c>
      <c r="H31" s="144"/>
      <c r="I31" s="144" t="s">
        <v>1802</v>
      </c>
      <c r="J31" s="144" t="s">
        <v>1803</v>
      </c>
      <c r="K31" s="144" t="s">
        <v>2210</v>
      </c>
    </row>
    <row r="32" spans="1:11" x14ac:dyDescent="0.25">
      <c r="A32" s="144" t="s">
        <v>1873</v>
      </c>
      <c r="B32" s="145">
        <v>1758</v>
      </c>
      <c r="C32" s="144" t="s">
        <v>1798</v>
      </c>
      <c r="D32" s="146">
        <v>76.069999999999993</v>
      </c>
      <c r="E32" s="144" t="s">
        <v>1799</v>
      </c>
      <c r="F32" s="144" t="s">
        <v>1800</v>
      </c>
      <c r="G32" s="144" t="s">
        <v>1801</v>
      </c>
      <c r="H32" s="144"/>
      <c r="I32" s="144" t="s">
        <v>1802</v>
      </c>
      <c r="J32" s="144" t="s">
        <v>1803</v>
      </c>
      <c r="K32" s="144" t="s">
        <v>2211</v>
      </c>
    </row>
    <row r="33" spans="1:11" x14ac:dyDescent="0.25">
      <c r="A33" s="144" t="s">
        <v>1873</v>
      </c>
      <c r="B33" s="145">
        <v>1759</v>
      </c>
      <c r="C33" s="144" t="s">
        <v>1798</v>
      </c>
      <c r="D33" s="146">
        <v>14.01</v>
      </c>
      <c r="E33" s="144" t="s">
        <v>1799</v>
      </c>
      <c r="F33" s="144" t="s">
        <v>1800</v>
      </c>
      <c r="G33" s="144" t="s">
        <v>1801</v>
      </c>
      <c r="H33" s="144"/>
      <c r="I33" s="144" t="s">
        <v>1802</v>
      </c>
      <c r="J33" s="144" t="s">
        <v>1803</v>
      </c>
      <c r="K33" s="144" t="s">
        <v>2212</v>
      </c>
    </row>
    <row r="34" spans="1:11" x14ac:dyDescent="0.25">
      <c r="A34" s="144" t="s">
        <v>1873</v>
      </c>
      <c r="B34" s="145">
        <v>1760</v>
      </c>
      <c r="C34" s="144" t="s">
        <v>1798</v>
      </c>
      <c r="D34" s="146">
        <v>41.04</v>
      </c>
      <c r="E34" s="144" t="s">
        <v>1799</v>
      </c>
      <c r="F34" s="144" t="s">
        <v>1800</v>
      </c>
      <c r="G34" s="144" t="s">
        <v>1801</v>
      </c>
      <c r="H34" s="144"/>
      <c r="I34" s="144" t="s">
        <v>1802</v>
      </c>
      <c r="J34" s="144" t="s">
        <v>1803</v>
      </c>
      <c r="K34" s="144" t="s">
        <v>2213</v>
      </c>
    </row>
    <row r="35" spans="1:11" x14ac:dyDescent="0.25">
      <c r="A35" s="144" t="s">
        <v>1873</v>
      </c>
      <c r="B35" s="145">
        <v>1761</v>
      </c>
      <c r="C35" s="144" t="s">
        <v>1798</v>
      </c>
      <c r="D35" s="146">
        <v>367.33</v>
      </c>
      <c r="E35" s="144" t="s">
        <v>1799</v>
      </c>
      <c r="F35" s="144" t="s">
        <v>1800</v>
      </c>
      <c r="G35" s="144" t="s">
        <v>1801</v>
      </c>
      <c r="H35" s="144"/>
      <c r="I35" s="144" t="s">
        <v>1802</v>
      </c>
      <c r="J35" s="144" t="s">
        <v>1803</v>
      </c>
      <c r="K35" s="144" t="s">
        <v>2214</v>
      </c>
    </row>
    <row r="36" spans="1:11" x14ac:dyDescent="0.25">
      <c r="A36" s="144" t="s">
        <v>1873</v>
      </c>
      <c r="B36" s="145">
        <v>1762</v>
      </c>
      <c r="C36" s="144" t="s">
        <v>1798</v>
      </c>
      <c r="D36" s="146">
        <v>596.53</v>
      </c>
      <c r="E36" s="144" t="s">
        <v>1799</v>
      </c>
      <c r="F36" s="144" t="s">
        <v>1800</v>
      </c>
      <c r="G36" s="144" t="s">
        <v>1801</v>
      </c>
      <c r="H36" s="144"/>
      <c r="I36" s="144" t="s">
        <v>1802</v>
      </c>
      <c r="J36" s="144" t="s">
        <v>1803</v>
      </c>
      <c r="K36" s="144" t="s">
        <v>2215</v>
      </c>
    </row>
    <row r="37" spans="1:11" x14ac:dyDescent="0.25">
      <c r="A37" s="144" t="s">
        <v>1873</v>
      </c>
      <c r="B37" s="145">
        <v>1763</v>
      </c>
      <c r="C37" s="144" t="s">
        <v>1798</v>
      </c>
      <c r="D37" s="146">
        <v>214.19</v>
      </c>
      <c r="E37" s="144" t="s">
        <v>1799</v>
      </c>
      <c r="F37" s="144" t="s">
        <v>1800</v>
      </c>
      <c r="G37" s="144" t="s">
        <v>1801</v>
      </c>
      <c r="H37" s="144"/>
      <c r="I37" s="144" t="s">
        <v>1802</v>
      </c>
      <c r="J37" s="144" t="s">
        <v>1803</v>
      </c>
      <c r="K37" s="144" t="s">
        <v>2216</v>
      </c>
    </row>
    <row r="38" spans="1:11" x14ac:dyDescent="0.25">
      <c r="A38" s="144" t="s">
        <v>1873</v>
      </c>
      <c r="B38" s="145">
        <v>1764</v>
      </c>
      <c r="C38" s="144" t="s">
        <v>1798</v>
      </c>
      <c r="D38" s="146">
        <v>120.11</v>
      </c>
      <c r="E38" s="144" t="s">
        <v>1799</v>
      </c>
      <c r="F38" s="144" t="s">
        <v>1800</v>
      </c>
      <c r="G38" s="144" t="s">
        <v>1801</v>
      </c>
      <c r="H38" s="144"/>
      <c r="I38" s="144" t="s">
        <v>1802</v>
      </c>
      <c r="J38" s="144" t="s">
        <v>1803</v>
      </c>
      <c r="K38" s="144" t="s">
        <v>2217</v>
      </c>
    </row>
    <row r="39" spans="1:11" x14ac:dyDescent="0.25">
      <c r="A39" s="144" t="s">
        <v>1873</v>
      </c>
      <c r="B39" s="145">
        <v>1765</v>
      </c>
      <c r="C39" s="144" t="s">
        <v>1798</v>
      </c>
      <c r="D39" s="146">
        <v>64.06</v>
      </c>
      <c r="E39" s="144" t="s">
        <v>1799</v>
      </c>
      <c r="F39" s="144" t="s">
        <v>1800</v>
      </c>
      <c r="G39" s="144" t="s">
        <v>1801</v>
      </c>
      <c r="H39" s="144"/>
      <c r="I39" s="144" t="s">
        <v>1802</v>
      </c>
      <c r="J39" s="144" t="s">
        <v>1803</v>
      </c>
      <c r="K39" s="144" t="s">
        <v>2218</v>
      </c>
    </row>
    <row r="40" spans="1:11" x14ac:dyDescent="0.25">
      <c r="A40" s="144" t="s">
        <v>1873</v>
      </c>
      <c r="B40" s="145">
        <v>1766</v>
      </c>
      <c r="C40" s="144" t="s">
        <v>1798</v>
      </c>
      <c r="D40" s="146">
        <v>3</v>
      </c>
      <c r="E40" s="144" t="s">
        <v>1799</v>
      </c>
      <c r="F40" s="144" t="s">
        <v>1800</v>
      </c>
      <c r="G40" s="144" t="s">
        <v>1801</v>
      </c>
      <c r="H40" s="144"/>
      <c r="I40" s="144" t="s">
        <v>1802</v>
      </c>
      <c r="J40" s="144" t="s">
        <v>1803</v>
      </c>
      <c r="K40" s="144" t="s">
        <v>2219</v>
      </c>
    </row>
    <row r="41" spans="1:11" x14ac:dyDescent="0.25">
      <c r="A41" s="144" t="s">
        <v>1873</v>
      </c>
      <c r="B41" s="145">
        <v>1767</v>
      </c>
      <c r="C41" s="144" t="s">
        <v>1798</v>
      </c>
      <c r="D41" s="146">
        <v>357.32</v>
      </c>
      <c r="E41" s="144" t="s">
        <v>1799</v>
      </c>
      <c r="F41" s="144" t="s">
        <v>1800</v>
      </c>
      <c r="G41" s="144" t="s">
        <v>1801</v>
      </c>
      <c r="H41" s="144"/>
      <c r="I41" s="144" t="s">
        <v>1802</v>
      </c>
      <c r="J41" s="144" t="s">
        <v>1803</v>
      </c>
      <c r="K41" s="144" t="s">
        <v>2220</v>
      </c>
    </row>
    <row r="42" spans="1:11" x14ac:dyDescent="0.25">
      <c r="A42" s="144" t="s">
        <v>1873</v>
      </c>
      <c r="B42" s="145">
        <v>1768</v>
      </c>
      <c r="C42" s="144" t="s">
        <v>1798</v>
      </c>
      <c r="D42" s="146">
        <v>9.01</v>
      </c>
      <c r="E42" s="144" t="s">
        <v>1799</v>
      </c>
      <c r="F42" s="144" t="s">
        <v>1800</v>
      </c>
      <c r="G42" s="144" t="s">
        <v>1801</v>
      </c>
      <c r="H42" s="144"/>
      <c r="I42" s="144" t="s">
        <v>1802</v>
      </c>
      <c r="J42" s="144" t="s">
        <v>1803</v>
      </c>
      <c r="K42" s="144" t="s">
        <v>2221</v>
      </c>
    </row>
    <row r="43" spans="1:11" x14ac:dyDescent="0.25">
      <c r="A43" s="144" t="s">
        <v>1873</v>
      </c>
      <c r="B43" s="145">
        <v>1769</v>
      </c>
      <c r="C43" s="144" t="s">
        <v>1798</v>
      </c>
      <c r="D43" s="146">
        <v>1</v>
      </c>
      <c r="E43" s="144" t="s">
        <v>1799</v>
      </c>
      <c r="F43" s="144" t="s">
        <v>1800</v>
      </c>
      <c r="G43" s="144" t="s">
        <v>1801</v>
      </c>
      <c r="H43" s="144"/>
      <c r="I43" s="144" t="s">
        <v>1802</v>
      </c>
      <c r="J43" s="144" t="s">
        <v>1803</v>
      </c>
      <c r="K43" s="144" t="s">
        <v>2222</v>
      </c>
    </row>
    <row r="44" spans="1:11" x14ac:dyDescent="0.25">
      <c r="A44" s="144" t="s">
        <v>1873</v>
      </c>
      <c r="B44" s="145">
        <v>1770</v>
      </c>
      <c r="C44" s="144" t="s">
        <v>1798</v>
      </c>
      <c r="D44" s="146">
        <v>13.01</v>
      </c>
      <c r="E44" s="144" t="s">
        <v>1799</v>
      </c>
      <c r="F44" s="144" t="s">
        <v>1800</v>
      </c>
      <c r="G44" s="144" t="s">
        <v>1801</v>
      </c>
      <c r="H44" s="144"/>
      <c r="I44" s="144" t="s">
        <v>1802</v>
      </c>
      <c r="J44" s="144" t="s">
        <v>1803</v>
      </c>
      <c r="K44" s="144" t="s">
        <v>2223</v>
      </c>
    </row>
    <row r="45" spans="1:11" x14ac:dyDescent="0.25">
      <c r="A45" s="144" t="s">
        <v>1873</v>
      </c>
      <c r="B45" s="145">
        <v>1771</v>
      </c>
      <c r="C45" s="144" t="s">
        <v>1798</v>
      </c>
      <c r="D45" s="146">
        <v>35.03</v>
      </c>
      <c r="E45" s="144" t="s">
        <v>1799</v>
      </c>
      <c r="F45" s="144" t="s">
        <v>1800</v>
      </c>
      <c r="G45" s="144" t="s">
        <v>1801</v>
      </c>
      <c r="H45" s="144"/>
      <c r="I45" s="144" t="s">
        <v>1802</v>
      </c>
      <c r="J45" s="144" t="s">
        <v>1803</v>
      </c>
      <c r="K45" s="144" t="s">
        <v>2224</v>
      </c>
    </row>
    <row r="46" spans="1:11" x14ac:dyDescent="0.25">
      <c r="A46" s="144" t="s">
        <v>1873</v>
      </c>
      <c r="B46" s="145">
        <v>1772</v>
      </c>
      <c r="C46" s="144" t="s">
        <v>1798</v>
      </c>
      <c r="D46" s="146">
        <v>217.2</v>
      </c>
      <c r="E46" s="144" t="s">
        <v>1799</v>
      </c>
      <c r="F46" s="144" t="s">
        <v>1800</v>
      </c>
      <c r="G46" s="144" t="s">
        <v>1801</v>
      </c>
      <c r="H46" s="144"/>
      <c r="I46" s="144" t="s">
        <v>1802</v>
      </c>
      <c r="J46" s="144" t="s">
        <v>1803</v>
      </c>
      <c r="K46" s="144" t="s">
        <v>2225</v>
      </c>
    </row>
    <row r="47" spans="1:11" x14ac:dyDescent="0.25">
      <c r="A47" s="144" t="s">
        <v>1873</v>
      </c>
      <c r="B47" s="145">
        <v>1773</v>
      </c>
      <c r="C47" s="144" t="s">
        <v>1798</v>
      </c>
      <c r="D47" s="146">
        <v>111.1</v>
      </c>
      <c r="E47" s="144" t="s">
        <v>1799</v>
      </c>
      <c r="F47" s="144" t="s">
        <v>1800</v>
      </c>
      <c r="G47" s="144" t="s">
        <v>1801</v>
      </c>
      <c r="H47" s="144"/>
      <c r="I47" s="144" t="s">
        <v>1802</v>
      </c>
      <c r="J47" s="144" t="s">
        <v>1803</v>
      </c>
      <c r="K47" s="144" t="s">
        <v>2226</v>
      </c>
    </row>
    <row r="48" spans="1:11" x14ac:dyDescent="0.25">
      <c r="A48" s="144" t="s">
        <v>1873</v>
      </c>
      <c r="B48" s="145">
        <v>1774</v>
      </c>
      <c r="C48" s="144" t="s">
        <v>1798</v>
      </c>
      <c r="D48" s="146">
        <v>100.09</v>
      </c>
      <c r="E48" s="144" t="s">
        <v>1799</v>
      </c>
      <c r="F48" s="144" t="s">
        <v>1800</v>
      </c>
      <c r="G48" s="144" t="s">
        <v>1801</v>
      </c>
      <c r="H48" s="144"/>
      <c r="I48" s="144" t="s">
        <v>1802</v>
      </c>
      <c r="J48" s="144" t="s">
        <v>1803</v>
      </c>
      <c r="K48" s="144" t="s">
        <v>2227</v>
      </c>
    </row>
    <row r="49" spans="1:11" x14ac:dyDescent="0.25">
      <c r="A49" s="144" t="s">
        <v>1873</v>
      </c>
      <c r="B49" s="145">
        <v>1775</v>
      </c>
      <c r="C49" s="144" t="s">
        <v>1798</v>
      </c>
      <c r="D49" s="146">
        <v>23.02</v>
      </c>
      <c r="E49" s="144" t="s">
        <v>1799</v>
      </c>
      <c r="F49" s="144" t="s">
        <v>1800</v>
      </c>
      <c r="G49" s="144" t="s">
        <v>1801</v>
      </c>
      <c r="H49" s="144"/>
      <c r="I49" s="144" t="s">
        <v>1802</v>
      </c>
      <c r="J49" s="144" t="s">
        <v>1803</v>
      </c>
      <c r="K49" s="144" t="s">
        <v>2228</v>
      </c>
    </row>
    <row r="50" spans="1:11" x14ac:dyDescent="0.25">
      <c r="A50" s="144" t="s">
        <v>1918</v>
      </c>
      <c r="B50" s="145">
        <v>2471</v>
      </c>
      <c r="C50" s="144" t="s">
        <v>1798</v>
      </c>
      <c r="D50" s="146">
        <v>35.03</v>
      </c>
      <c r="E50" s="144" t="s">
        <v>1799</v>
      </c>
      <c r="F50" s="144" t="s">
        <v>1800</v>
      </c>
      <c r="G50" s="144" t="s">
        <v>1801</v>
      </c>
      <c r="H50" s="144"/>
      <c r="I50" s="144" t="s">
        <v>1802</v>
      </c>
      <c r="J50" s="144" t="s">
        <v>1803</v>
      </c>
      <c r="K50" s="144" t="s">
        <v>2229</v>
      </c>
    </row>
    <row r="51" spans="1:11" x14ac:dyDescent="0.25">
      <c r="A51" s="144" t="s">
        <v>1918</v>
      </c>
      <c r="B51" s="145">
        <v>2472</v>
      </c>
      <c r="C51" s="144" t="s">
        <v>1798</v>
      </c>
      <c r="D51" s="146">
        <v>8.01</v>
      </c>
      <c r="E51" s="144" t="s">
        <v>1799</v>
      </c>
      <c r="F51" s="144" t="s">
        <v>1800</v>
      </c>
      <c r="G51" s="144" t="s">
        <v>1801</v>
      </c>
      <c r="H51" s="144"/>
      <c r="I51" s="144" t="s">
        <v>1802</v>
      </c>
      <c r="J51" s="144" t="s">
        <v>1803</v>
      </c>
      <c r="K51" s="144" t="s">
        <v>2230</v>
      </c>
    </row>
    <row r="52" spans="1:11" x14ac:dyDescent="0.25">
      <c r="A52" s="144" t="s">
        <v>1918</v>
      </c>
      <c r="B52" s="145">
        <v>2473</v>
      </c>
      <c r="C52" s="144" t="s">
        <v>1798</v>
      </c>
      <c r="D52" s="146">
        <v>275.25</v>
      </c>
      <c r="E52" s="144" t="s">
        <v>1799</v>
      </c>
      <c r="F52" s="144" t="s">
        <v>1800</v>
      </c>
      <c r="G52" s="144" t="s">
        <v>1801</v>
      </c>
      <c r="H52" s="144"/>
      <c r="I52" s="144" t="s">
        <v>1802</v>
      </c>
      <c r="J52" s="144" t="s">
        <v>1803</v>
      </c>
      <c r="K52" s="144" t="s">
        <v>2231</v>
      </c>
    </row>
    <row r="53" spans="1:11" x14ac:dyDescent="0.25">
      <c r="A53" s="144" t="s">
        <v>1918</v>
      </c>
      <c r="B53" s="145">
        <v>2474</v>
      </c>
      <c r="C53" s="144" t="s">
        <v>1798</v>
      </c>
      <c r="D53" s="146">
        <v>87.08</v>
      </c>
      <c r="E53" s="144" t="s">
        <v>1799</v>
      </c>
      <c r="F53" s="144" t="s">
        <v>1800</v>
      </c>
      <c r="G53" s="144" t="s">
        <v>1801</v>
      </c>
      <c r="H53" s="144"/>
      <c r="I53" s="144" t="s">
        <v>1802</v>
      </c>
      <c r="J53" s="144" t="s">
        <v>1803</v>
      </c>
      <c r="K53" s="144" t="s">
        <v>2232</v>
      </c>
    </row>
    <row r="54" spans="1:11" x14ac:dyDescent="0.25">
      <c r="A54" s="144" t="s">
        <v>1918</v>
      </c>
      <c r="B54" s="145">
        <v>2475</v>
      </c>
      <c r="C54" s="144" t="s">
        <v>1798</v>
      </c>
      <c r="D54" s="146">
        <v>897.81</v>
      </c>
      <c r="E54" s="144" t="s">
        <v>1799</v>
      </c>
      <c r="F54" s="144" t="s">
        <v>1800</v>
      </c>
      <c r="G54" s="144" t="s">
        <v>1801</v>
      </c>
      <c r="H54" s="144"/>
      <c r="I54" s="144" t="s">
        <v>1802</v>
      </c>
      <c r="J54" s="144" t="s">
        <v>1803</v>
      </c>
      <c r="K54" s="144" t="s">
        <v>2233</v>
      </c>
    </row>
    <row r="55" spans="1:11" x14ac:dyDescent="0.25">
      <c r="A55" s="144" t="s">
        <v>1918</v>
      </c>
      <c r="B55" s="145">
        <v>2476</v>
      </c>
      <c r="C55" s="144" t="s">
        <v>1798</v>
      </c>
      <c r="D55" s="146">
        <v>550.5</v>
      </c>
      <c r="E55" s="144" t="s">
        <v>1799</v>
      </c>
      <c r="F55" s="144" t="s">
        <v>1800</v>
      </c>
      <c r="G55" s="144" t="s">
        <v>1801</v>
      </c>
      <c r="H55" s="144"/>
      <c r="I55" s="144" t="s">
        <v>1802</v>
      </c>
      <c r="J55" s="144" t="s">
        <v>1803</v>
      </c>
      <c r="K55" s="144" t="s">
        <v>2234</v>
      </c>
    </row>
    <row r="56" spans="1:11" x14ac:dyDescent="0.25">
      <c r="A56" s="144" t="s">
        <v>1918</v>
      </c>
      <c r="B56" s="145">
        <v>2477</v>
      </c>
      <c r="C56" s="144" t="s">
        <v>1798</v>
      </c>
      <c r="D56" s="146">
        <v>136.12</v>
      </c>
      <c r="E56" s="144" t="s">
        <v>1799</v>
      </c>
      <c r="F56" s="144" t="s">
        <v>1800</v>
      </c>
      <c r="G56" s="144" t="s">
        <v>1801</v>
      </c>
      <c r="H56" s="144"/>
      <c r="I56" s="144" t="s">
        <v>1802</v>
      </c>
      <c r="J56" s="144" t="s">
        <v>1803</v>
      </c>
      <c r="K56" s="144" t="s">
        <v>2235</v>
      </c>
    </row>
    <row r="57" spans="1:11" x14ac:dyDescent="0.25">
      <c r="A57" s="144" t="s">
        <v>1918</v>
      </c>
      <c r="B57" s="145">
        <v>2478</v>
      </c>
      <c r="C57" s="144" t="s">
        <v>1798</v>
      </c>
      <c r="D57" s="146">
        <v>20.02</v>
      </c>
      <c r="E57" s="144" t="s">
        <v>1799</v>
      </c>
      <c r="F57" s="144" t="s">
        <v>1800</v>
      </c>
      <c r="G57" s="144" t="s">
        <v>1801</v>
      </c>
      <c r="H57" s="144"/>
      <c r="I57" s="144" t="s">
        <v>1802</v>
      </c>
      <c r="J57" s="144" t="s">
        <v>1803</v>
      </c>
      <c r="K57" s="144" t="s">
        <v>2236</v>
      </c>
    </row>
    <row r="58" spans="1:11" x14ac:dyDescent="0.25">
      <c r="A58" s="144" t="s">
        <v>1918</v>
      </c>
      <c r="B58" s="145">
        <v>2479</v>
      </c>
      <c r="C58" s="144" t="s">
        <v>1798</v>
      </c>
      <c r="D58" s="146">
        <v>7.01</v>
      </c>
      <c r="E58" s="144" t="s">
        <v>1799</v>
      </c>
      <c r="F58" s="144" t="s">
        <v>1800</v>
      </c>
      <c r="G58" s="144" t="s">
        <v>1801</v>
      </c>
      <c r="H58" s="144"/>
      <c r="I58" s="144" t="s">
        <v>1802</v>
      </c>
      <c r="J58" s="144" t="s">
        <v>1803</v>
      </c>
      <c r="K58" s="144" t="s">
        <v>2237</v>
      </c>
    </row>
    <row r="59" spans="1:11" x14ac:dyDescent="0.25">
      <c r="A59" s="144" t="s">
        <v>1918</v>
      </c>
      <c r="B59" s="145">
        <v>2480</v>
      </c>
      <c r="C59" s="144" t="s">
        <v>1798</v>
      </c>
      <c r="D59" s="146">
        <v>6.01</v>
      </c>
      <c r="E59" s="144" t="s">
        <v>1799</v>
      </c>
      <c r="F59" s="144" t="s">
        <v>1800</v>
      </c>
      <c r="G59" s="144" t="s">
        <v>1801</v>
      </c>
      <c r="H59" s="144"/>
      <c r="I59" s="144" t="s">
        <v>1802</v>
      </c>
      <c r="J59" s="144" t="s">
        <v>1803</v>
      </c>
      <c r="K59" s="144" t="s">
        <v>2238</v>
      </c>
    </row>
    <row r="60" spans="1:11" x14ac:dyDescent="0.25">
      <c r="A60" s="144" t="s">
        <v>1918</v>
      </c>
      <c r="B60" s="145">
        <v>2481</v>
      </c>
      <c r="C60" s="144" t="s">
        <v>1798</v>
      </c>
      <c r="D60" s="146">
        <v>250.23</v>
      </c>
      <c r="E60" s="144" t="s">
        <v>1799</v>
      </c>
      <c r="F60" s="144" t="s">
        <v>1800</v>
      </c>
      <c r="G60" s="144" t="s">
        <v>1801</v>
      </c>
      <c r="H60" s="144"/>
      <c r="I60" s="144" t="s">
        <v>1802</v>
      </c>
      <c r="J60" s="144" t="s">
        <v>1803</v>
      </c>
      <c r="K60" s="144" t="s">
        <v>2239</v>
      </c>
    </row>
    <row r="61" spans="1:11" x14ac:dyDescent="0.25">
      <c r="A61" s="144" t="s">
        <v>1918</v>
      </c>
      <c r="B61" s="145">
        <v>2482</v>
      </c>
      <c r="C61" s="144" t="s">
        <v>1798</v>
      </c>
      <c r="D61" s="146">
        <v>1</v>
      </c>
      <c r="E61" s="144" t="s">
        <v>1799</v>
      </c>
      <c r="F61" s="144" t="s">
        <v>1800</v>
      </c>
      <c r="G61" s="144" t="s">
        <v>1801</v>
      </c>
      <c r="H61" s="144"/>
      <c r="I61" s="144" t="s">
        <v>1802</v>
      </c>
      <c r="J61" s="144" t="s">
        <v>1803</v>
      </c>
      <c r="K61" s="144" t="s">
        <v>2240</v>
      </c>
    </row>
    <row r="62" spans="1:11" x14ac:dyDescent="0.25">
      <c r="A62" s="144" t="s">
        <v>1918</v>
      </c>
      <c r="B62" s="145">
        <v>2483</v>
      </c>
      <c r="C62" s="144" t="s">
        <v>1798</v>
      </c>
      <c r="D62" s="146">
        <v>5</v>
      </c>
      <c r="E62" s="144" t="s">
        <v>1799</v>
      </c>
      <c r="F62" s="144" t="s">
        <v>1800</v>
      </c>
      <c r="G62" s="144" t="s">
        <v>1801</v>
      </c>
      <c r="H62" s="144"/>
      <c r="I62" s="144" t="s">
        <v>1802</v>
      </c>
      <c r="J62" s="144" t="s">
        <v>1803</v>
      </c>
      <c r="K62" s="144" t="s">
        <v>2241</v>
      </c>
    </row>
    <row r="63" spans="1:11" x14ac:dyDescent="0.25">
      <c r="A63" s="144" t="s">
        <v>1918</v>
      </c>
      <c r="B63" s="145">
        <v>2484</v>
      </c>
      <c r="C63" s="144" t="s">
        <v>1798</v>
      </c>
      <c r="D63" s="146">
        <v>28.03</v>
      </c>
      <c r="E63" s="144" t="s">
        <v>1799</v>
      </c>
      <c r="F63" s="144" t="s">
        <v>1800</v>
      </c>
      <c r="G63" s="144" t="s">
        <v>1801</v>
      </c>
      <c r="H63" s="144"/>
      <c r="I63" s="144" t="s">
        <v>1802</v>
      </c>
      <c r="J63" s="144" t="s">
        <v>1803</v>
      </c>
      <c r="K63" s="144" t="s">
        <v>2242</v>
      </c>
    </row>
    <row r="64" spans="1:11" x14ac:dyDescent="0.25">
      <c r="A64" s="144" t="s">
        <v>1918</v>
      </c>
      <c r="B64" s="145">
        <v>2485</v>
      </c>
      <c r="C64" s="144" t="s">
        <v>1798</v>
      </c>
      <c r="D64" s="146">
        <v>11.01</v>
      </c>
      <c r="E64" s="144" t="s">
        <v>1799</v>
      </c>
      <c r="F64" s="144" t="s">
        <v>1800</v>
      </c>
      <c r="G64" s="144" t="s">
        <v>1801</v>
      </c>
      <c r="H64" s="144"/>
      <c r="I64" s="144" t="s">
        <v>1802</v>
      </c>
      <c r="J64" s="144" t="s">
        <v>1803</v>
      </c>
      <c r="K64" s="144" t="s">
        <v>2243</v>
      </c>
    </row>
    <row r="65" spans="1:11" x14ac:dyDescent="0.25">
      <c r="A65" s="144" t="s">
        <v>1918</v>
      </c>
      <c r="B65" s="145">
        <v>2486</v>
      </c>
      <c r="C65" s="144" t="s">
        <v>1798</v>
      </c>
      <c r="D65" s="146">
        <v>334.3</v>
      </c>
      <c r="E65" s="144" t="s">
        <v>1799</v>
      </c>
      <c r="F65" s="144" t="s">
        <v>1800</v>
      </c>
      <c r="G65" s="144" t="s">
        <v>1801</v>
      </c>
      <c r="H65" s="144"/>
      <c r="I65" s="144" t="s">
        <v>1802</v>
      </c>
      <c r="J65" s="144" t="s">
        <v>1803</v>
      </c>
      <c r="K65" s="144" t="s">
        <v>2244</v>
      </c>
    </row>
    <row r="66" spans="1:11" x14ac:dyDescent="0.25">
      <c r="A66" s="144" t="s">
        <v>1918</v>
      </c>
      <c r="B66" s="145">
        <v>2487</v>
      </c>
      <c r="C66" s="144" t="s">
        <v>1798</v>
      </c>
      <c r="D66" s="146">
        <v>248.22</v>
      </c>
      <c r="E66" s="144" t="s">
        <v>1799</v>
      </c>
      <c r="F66" s="144" t="s">
        <v>1800</v>
      </c>
      <c r="G66" s="144" t="s">
        <v>1801</v>
      </c>
      <c r="H66" s="144"/>
      <c r="I66" s="144" t="s">
        <v>1802</v>
      </c>
      <c r="J66" s="144" t="s">
        <v>1803</v>
      </c>
      <c r="K66" s="144" t="s">
        <v>2245</v>
      </c>
    </row>
    <row r="67" spans="1:11" x14ac:dyDescent="0.25">
      <c r="A67" s="144" t="s">
        <v>1918</v>
      </c>
      <c r="B67" s="145">
        <v>2488</v>
      </c>
      <c r="C67" s="144" t="s">
        <v>1798</v>
      </c>
      <c r="D67" s="146">
        <v>400.36</v>
      </c>
      <c r="E67" s="144" t="s">
        <v>1799</v>
      </c>
      <c r="F67" s="144" t="s">
        <v>1800</v>
      </c>
      <c r="G67" s="144" t="s">
        <v>1801</v>
      </c>
      <c r="H67" s="144"/>
      <c r="I67" s="144" t="s">
        <v>1802</v>
      </c>
      <c r="J67" s="144" t="s">
        <v>1803</v>
      </c>
      <c r="K67" s="144" t="s">
        <v>2246</v>
      </c>
    </row>
    <row r="68" spans="1:11" x14ac:dyDescent="0.25">
      <c r="A68" s="144" t="s">
        <v>1918</v>
      </c>
      <c r="B68" s="145">
        <v>2490</v>
      </c>
      <c r="C68" s="144" t="s">
        <v>1798</v>
      </c>
      <c r="D68" s="146">
        <v>8.01</v>
      </c>
      <c r="E68" s="144" t="s">
        <v>1799</v>
      </c>
      <c r="F68" s="144" t="s">
        <v>1800</v>
      </c>
      <c r="G68" s="144" t="s">
        <v>1801</v>
      </c>
      <c r="H68" s="144"/>
      <c r="I68" s="144" t="s">
        <v>1802</v>
      </c>
      <c r="J68" s="144" t="s">
        <v>1803</v>
      </c>
      <c r="K68" s="144" t="s">
        <v>2247</v>
      </c>
    </row>
    <row r="69" spans="1:11" x14ac:dyDescent="0.25">
      <c r="A69" s="144" t="s">
        <v>1918</v>
      </c>
      <c r="B69" s="145">
        <v>2491</v>
      </c>
      <c r="C69" s="144" t="s">
        <v>1798</v>
      </c>
      <c r="D69" s="146">
        <v>94.08</v>
      </c>
      <c r="E69" s="144" t="s">
        <v>1799</v>
      </c>
      <c r="F69" s="144" t="s">
        <v>1800</v>
      </c>
      <c r="G69" s="144" t="s">
        <v>1801</v>
      </c>
      <c r="H69" s="144"/>
      <c r="I69" s="144" t="s">
        <v>1802</v>
      </c>
      <c r="J69" s="144" t="s">
        <v>1803</v>
      </c>
      <c r="K69" s="144" t="s">
        <v>2248</v>
      </c>
    </row>
    <row r="70" spans="1:11" x14ac:dyDescent="0.25">
      <c r="A70" s="144" t="s">
        <v>1918</v>
      </c>
      <c r="B70" s="145">
        <v>2492</v>
      </c>
      <c r="C70" s="144" t="s">
        <v>1798</v>
      </c>
      <c r="D70" s="146">
        <v>106.1</v>
      </c>
      <c r="E70" s="144" t="s">
        <v>1799</v>
      </c>
      <c r="F70" s="144" t="s">
        <v>1800</v>
      </c>
      <c r="G70" s="144" t="s">
        <v>1801</v>
      </c>
      <c r="H70" s="144"/>
      <c r="I70" s="144" t="s">
        <v>1802</v>
      </c>
      <c r="J70" s="144" t="s">
        <v>1803</v>
      </c>
      <c r="K70" s="144" t="s">
        <v>2249</v>
      </c>
    </row>
    <row r="71" spans="1:11" x14ac:dyDescent="0.25">
      <c r="A71" s="144" t="s">
        <v>1918</v>
      </c>
      <c r="B71" s="145">
        <v>2493</v>
      </c>
      <c r="C71" s="144" t="s">
        <v>1798</v>
      </c>
      <c r="D71" s="146">
        <v>658.59</v>
      </c>
      <c r="E71" s="144" t="s">
        <v>1799</v>
      </c>
      <c r="F71" s="144" t="s">
        <v>1800</v>
      </c>
      <c r="G71" s="144" t="s">
        <v>1801</v>
      </c>
      <c r="H71" s="144"/>
      <c r="I71" s="144" t="s">
        <v>1802</v>
      </c>
      <c r="J71" s="144" t="s">
        <v>1803</v>
      </c>
      <c r="K71" s="144" t="s">
        <v>2250</v>
      </c>
    </row>
    <row r="72" spans="1:11" x14ac:dyDescent="0.25">
      <c r="A72" s="144" t="s">
        <v>1918</v>
      </c>
      <c r="B72" s="145">
        <v>2494</v>
      </c>
      <c r="C72" s="144" t="s">
        <v>1798</v>
      </c>
      <c r="D72" s="146">
        <v>821.74</v>
      </c>
      <c r="E72" s="144" t="s">
        <v>1799</v>
      </c>
      <c r="F72" s="144" t="s">
        <v>1800</v>
      </c>
      <c r="G72" s="144" t="s">
        <v>1801</v>
      </c>
      <c r="H72" s="144"/>
      <c r="I72" s="144" t="s">
        <v>1802</v>
      </c>
      <c r="J72" s="144" t="s">
        <v>1803</v>
      </c>
      <c r="K72" s="144" t="s">
        <v>2251</v>
      </c>
    </row>
    <row r="73" spans="1:11" x14ac:dyDescent="0.25">
      <c r="A73" s="144" t="s">
        <v>1918</v>
      </c>
      <c r="B73" s="145">
        <v>2495</v>
      </c>
      <c r="C73" s="144" t="s">
        <v>1798</v>
      </c>
      <c r="D73" s="147">
        <v>2207.9899999999998</v>
      </c>
      <c r="E73" s="144" t="s">
        <v>1799</v>
      </c>
      <c r="F73" s="144" t="s">
        <v>1800</v>
      </c>
      <c r="G73" s="144" t="s">
        <v>1801</v>
      </c>
      <c r="H73" s="144"/>
      <c r="I73" s="144" t="s">
        <v>1802</v>
      </c>
      <c r="J73" s="144" t="s">
        <v>1803</v>
      </c>
      <c r="K73" s="144" t="s">
        <v>2252</v>
      </c>
    </row>
    <row r="74" spans="1:11" x14ac:dyDescent="0.25">
      <c r="A74" s="144" t="s">
        <v>1918</v>
      </c>
      <c r="B74" s="145">
        <v>2496</v>
      </c>
      <c r="C74" s="144" t="s">
        <v>1798</v>
      </c>
      <c r="D74" s="146">
        <v>650.59</v>
      </c>
      <c r="E74" s="144" t="s">
        <v>1799</v>
      </c>
      <c r="F74" s="144" t="s">
        <v>1800</v>
      </c>
      <c r="G74" s="144" t="s">
        <v>1801</v>
      </c>
      <c r="H74" s="144"/>
      <c r="I74" s="144" t="s">
        <v>1802</v>
      </c>
      <c r="J74" s="144" t="s">
        <v>1803</v>
      </c>
      <c r="K74" s="144" t="s">
        <v>2253</v>
      </c>
    </row>
    <row r="75" spans="1:11" x14ac:dyDescent="0.25">
      <c r="A75" s="144" t="s">
        <v>1918</v>
      </c>
      <c r="B75" s="145">
        <v>2497</v>
      </c>
      <c r="C75" s="144" t="s">
        <v>1798</v>
      </c>
      <c r="D75" s="146">
        <v>51.05</v>
      </c>
      <c r="E75" s="144" t="s">
        <v>1799</v>
      </c>
      <c r="F75" s="144" t="s">
        <v>1800</v>
      </c>
      <c r="G75" s="144" t="s">
        <v>1801</v>
      </c>
      <c r="H75" s="144"/>
      <c r="I75" s="144" t="s">
        <v>1802</v>
      </c>
      <c r="J75" s="144" t="s">
        <v>1803</v>
      </c>
      <c r="K75" s="144" t="s">
        <v>2254</v>
      </c>
    </row>
    <row r="76" spans="1:11" x14ac:dyDescent="0.25">
      <c r="A76" s="144" t="s">
        <v>1918</v>
      </c>
      <c r="B76" s="145">
        <v>2498</v>
      </c>
      <c r="C76" s="144" t="s">
        <v>1798</v>
      </c>
      <c r="D76" s="146">
        <v>78.069999999999993</v>
      </c>
      <c r="E76" s="144" t="s">
        <v>1799</v>
      </c>
      <c r="F76" s="144" t="s">
        <v>1800</v>
      </c>
      <c r="G76" s="144" t="s">
        <v>1801</v>
      </c>
      <c r="H76" s="144"/>
      <c r="I76" s="144" t="s">
        <v>1802</v>
      </c>
      <c r="J76" s="144" t="s">
        <v>1803</v>
      </c>
      <c r="K76" s="144" t="s">
        <v>2255</v>
      </c>
    </row>
    <row r="77" spans="1:11" x14ac:dyDescent="0.25">
      <c r="A77" s="144" t="s">
        <v>1918</v>
      </c>
      <c r="B77" s="145">
        <v>2499</v>
      </c>
      <c r="C77" s="144" t="s">
        <v>1798</v>
      </c>
      <c r="D77" s="146">
        <v>368.33</v>
      </c>
      <c r="E77" s="144" t="s">
        <v>1799</v>
      </c>
      <c r="F77" s="144" t="s">
        <v>1800</v>
      </c>
      <c r="G77" s="144" t="s">
        <v>1801</v>
      </c>
      <c r="H77" s="144"/>
      <c r="I77" s="144" t="s">
        <v>1802</v>
      </c>
      <c r="J77" s="144" t="s">
        <v>1803</v>
      </c>
      <c r="K77" s="144" t="s">
        <v>2256</v>
      </c>
    </row>
    <row r="78" spans="1:11" x14ac:dyDescent="0.25">
      <c r="A78" s="144" t="s">
        <v>1918</v>
      </c>
      <c r="B78" s="145">
        <v>2500</v>
      </c>
      <c r="C78" s="144" t="s">
        <v>1798</v>
      </c>
      <c r="D78" s="146">
        <v>137.12</v>
      </c>
      <c r="E78" s="144" t="s">
        <v>1799</v>
      </c>
      <c r="F78" s="144" t="s">
        <v>1800</v>
      </c>
      <c r="G78" s="144" t="s">
        <v>1801</v>
      </c>
      <c r="H78" s="144"/>
      <c r="I78" s="144" t="s">
        <v>1802</v>
      </c>
      <c r="J78" s="144" t="s">
        <v>1803</v>
      </c>
      <c r="K78" s="144" t="s">
        <v>2257</v>
      </c>
    </row>
    <row r="79" spans="1:11" x14ac:dyDescent="0.25">
      <c r="A79" s="144" t="s">
        <v>1918</v>
      </c>
      <c r="B79" s="145">
        <v>2501</v>
      </c>
      <c r="C79" s="144" t="s">
        <v>1798</v>
      </c>
      <c r="D79" s="146">
        <v>200.18</v>
      </c>
      <c r="E79" s="144" t="s">
        <v>1799</v>
      </c>
      <c r="F79" s="144" t="s">
        <v>1800</v>
      </c>
      <c r="G79" s="144" t="s">
        <v>1801</v>
      </c>
      <c r="H79" s="144"/>
      <c r="I79" s="144" t="s">
        <v>1802</v>
      </c>
      <c r="J79" s="144" t="s">
        <v>1803</v>
      </c>
      <c r="K79" s="144" t="s">
        <v>2258</v>
      </c>
    </row>
    <row r="80" spans="1:11" x14ac:dyDescent="0.25">
      <c r="A80" s="144" t="s">
        <v>1918</v>
      </c>
      <c r="B80" s="145">
        <v>2502</v>
      </c>
      <c r="C80" s="144" t="s">
        <v>1798</v>
      </c>
      <c r="D80" s="146">
        <v>372.33</v>
      </c>
      <c r="E80" s="144" t="s">
        <v>1799</v>
      </c>
      <c r="F80" s="144" t="s">
        <v>1800</v>
      </c>
      <c r="G80" s="144" t="s">
        <v>1801</v>
      </c>
      <c r="H80" s="144"/>
      <c r="I80" s="144" t="s">
        <v>1802</v>
      </c>
      <c r="J80" s="144" t="s">
        <v>1803</v>
      </c>
      <c r="K80" s="144" t="s">
        <v>2259</v>
      </c>
    </row>
    <row r="81" spans="1:11" x14ac:dyDescent="0.25">
      <c r="A81" s="144" t="s">
        <v>1918</v>
      </c>
      <c r="B81" s="145">
        <v>2503</v>
      </c>
      <c r="C81" s="144" t="s">
        <v>1798</v>
      </c>
      <c r="D81" s="146">
        <v>40.04</v>
      </c>
      <c r="E81" s="144" t="s">
        <v>1799</v>
      </c>
      <c r="F81" s="144" t="s">
        <v>1800</v>
      </c>
      <c r="G81" s="144" t="s">
        <v>1801</v>
      </c>
      <c r="H81" s="144"/>
      <c r="I81" s="144" t="s">
        <v>1802</v>
      </c>
      <c r="J81" s="144" t="s">
        <v>1803</v>
      </c>
      <c r="K81" s="144" t="s">
        <v>2260</v>
      </c>
    </row>
    <row r="82" spans="1:11" x14ac:dyDescent="0.25">
      <c r="A82" s="144" t="s">
        <v>1918</v>
      </c>
      <c r="B82" s="145">
        <v>2504</v>
      </c>
      <c r="C82" s="144" t="s">
        <v>1798</v>
      </c>
      <c r="D82" s="147">
        <v>3867.48</v>
      </c>
      <c r="E82" s="144" t="s">
        <v>1799</v>
      </c>
      <c r="F82" s="144" t="s">
        <v>1800</v>
      </c>
      <c r="G82" s="144" t="s">
        <v>1801</v>
      </c>
      <c r="H82" s="144"/>
      <c r="I82" s="144" t="s">
        <v>1802</v>
      </c>
      <c r="J82" s="144" t="s">
        <v>1803</v>
      </c>
      <c r="K82" s="144" t="s">
        <v>2261</v>
      </c>
    </row>
    <row r="83" spans="1:11" x14ac:dyDescent="0.25">
      <c r="A83" s="144" t="s">
        <v>1918</v>
      </c>
      <c r="B83" s="145">
        <v>2505</v>
      </c>
      <c r="C83" s="144" t="s">
        <v>1798</v>
      </c>
      <c r="D83" s="146">
        <v>269.24</v>
      </c>
      <c r="E83" s="144" t="s">
        <v>1799</v>
      </c>
      <c r="F83" s="144" t="s">
        <v>1800</v>
      </c>
      <c r="G83" s="144" t="s">
        <v>1801</v>
      </c>
      <c r="H83" s="144"/>
      <c r="I83" s="144" t="s">
        <v>1802</v>
      </c>
      <c r="J83" s="144" t="s">
        <v>1803</v>
      </c>
      <c r="K83" s="144" t="s">
        <v>2262</v>
      </c>
    </row>
    <row r="84" spans="1:11" x14ac:dyDescent="0.25">
      <c r="A84" s="144" t="s">
        <v>1918</v>
      </c>
      <c r="B84" s="145">
        <v>2506</v>
      </c>
      <c r="C84" s="144" t="s">
        <v>1798</v>
      </c>
      <c r="D84" s="146">
        <v>100.09</v>
      </c>
      <c r="E84" s="144" t="s">
        <v>1799</v>
      </c>
      <c r="F84" s="144" t="s">
        <v>1800</v>
      </c>
      <c r="G84" s="144" t="s">
        <v>1801</v>
      </c>
      <c r="H84" s="144"/>
      <c r="I84" s="144" t="s">
        <v>1802</v>
      </c>
      <c r="J84" s="144" t="s">
        <v>1803</v>
      </c>
      <c r="K84" s="144" t="s">
        <v>2263</v>
      </c>
    </row>
    <row r="85" spans="1:11" x14ac:dyDescent="0.25">
      <c r="A85" s="144" t="s">
        <v>1918</v>
      </c>
      <c r="B85" s="145">
        <v>2507</v>
      </c>
      <c r="C85" s="144" t="s">
        <v>1798</v>
      </c>
      <c r="D85" s="146">
        <v>143.13</v>
      </c>
      <c r="E85" s="144" t="s">
        <v>1799</v>
      </c>
      <c r="F85" s="144" t="s">
        <v>1800</v>
      </c>
      <c r="G85" s="144" t="s">
        <v>1801</v>
      </c>
      <c r="H85" s="144"/>
      <c r="I85" s="144" t="s">
        <v>1802</v>
      </c>
      <c r="J85" s="144" t="s">
        <v>1803</v>
      </c>
      <c r="K85" s="144" t="s">
        <v>2264</v>
      </c>
    </row>
    <row r="86" spans="1:11" x14ac:dyDescent="0.25">
      <c r="A86" s="144" t="s">
        <v>1966</v>
      </c>
      <c r="B86" s="145">
        <v>3190</v>
      </c>
      <c r="C86" s="144" t="s">
        <v>1798</v>
      </c>
      <c r="D86" s="146">
        <v>33.03</v>
      </c>
      <c r="E86" s="144" t="s">
        <v>1799</v>
      </c>
      <c r="F86" s="144" t="s">
        <v>1800</v>
      </c>
      <c r="G86" s="144" t="s">
        <v>1801</v>
      </c>
      <c r="H86" s="144"/>
      <c r="I86" s="144" t="s">
        <v>1802</v>
      </c>
      <c r="J86" s="144" t="s">
        <v>1803</v>
      </c>
      <c r="K86" s="144" t="s">
        <v>2265</v>
      </c>
    </row>
    <row r="87" spans="1:11" x14ac:dyDescent="0.25">
      <c r="A87" s="144" t="s">
        <v>1966</v>
      </c>
      <c r="B87" s="145">
        <v>3191</v>
      </c>
      <c r="C87" s="144" t="s">
        <v>1798</v>
      </c>
      <c r="D87" s="146">
        <v>37.03</v>
      </c>
      <c r="E87" s="144" t="s">
        <v>1799</v>
      </c>
      <c r="F87" s="144" t="s">
        <v>1800</v>
      </c>
      <c r="G87" s="144" t="s">
        <v>1801</v>
      </c>
      <c r="H87" s="144"/>
      <c r="I87" s="144" t="s">
        <v>1802</v>
      </c>
      <c r="J87" s="144" t="s">
        <v>1803</v>
      </c>
      <c r="K87" s="144" t="s">
        <v>2266</v>
      </c>
    </row>
    <row r="88" spans="1:11" x14ac:dyDescent="0.25">
      <c r="A88" s="144" t="s">
        <v>1966</v>
      </c>
      <c r="B88" s="145">
        <v>3192</v>
      </c>
      <c r="C88" s="144" t="s">
        <v>1798</v>
      </c>
      <c r="D88" s="146">
        <v>112.1</v>
      </c>
      <c r="E88" s="144" t="s">
        <v>1799</v>
      </c>
      <c r="F88" s="144" t="s">
        <v>1800</v>
      </c>
      <c r="G88" s="144" t="s">
        <v>1801</v>
      </c>
      <c r="H88" s="144"/>
      <c r="I88" s="144" t="s">
        <v>1802</v>
      </c>
      <c r="J88" s="144" t="s">
        <v>1803</v>
      </c>
      <c r="K88" s="144" t="s">
        <v>2267</v>
      </c>
    </row>
    <row r="89" spans="1:11" x14ac:dyDescent="0.25">
      <c r="A89" s="144" t="s">
        <v>1966</v>
      </c>
      <c r="B89" s="145">
        <v>3193</v>
      </c>
      <c r="C89" s="144" t="s">
        <v>1798</v>
      </c>
      <c r="D89" s="146">
        <v>528.48</v>
      </c>
      <c r="E89" s="144" t="s">
        <v>1799</v>
      </c>
      <c r="F89" s="144" t="s">
        <v>1800</v>
      </c>
      <c r="G89" s="144" t="s">
        <v>1801</v>
      </c>
      <c r="H89" s="144"/>
      <c r="I89" s="144" t="s">
        <v>1802</v>
      </c>
      <c r="J89" s="144" t="s">
        <v>1803</v>
      </c>
      <c r="K89" s="144" t="s">
        <v>2268</v>
      </c>
    </row>
    <row r="90" spans="1:11" x14ac:dyDescent="0.25">
      <c r="A90" s="144" t="s">
        <v>1966</v>
      </c>
      <c r="B90" s="145">
        <v>3194</v>
      </c>
      <c r="C90" s="144" t="s">
        <v>1798</v>
      </c>
      <c r="D90" s="146">
        <v>498.45</v>
      </c>
      <c r="E90" s="144" t="s">
        <v>1799</v>
      </c>
      <c r="F90" s="144" t="s">
        <v>1800</v>
      </c>
      <c r="G90" s="144" t="s">
        <v>1801</v>
      </c>
      <c r="H90" s="144"/>
      <c r="I90" s="144" t="s">
        <v>1802</v>
      </c>
      <c r="J90" s="144" t="s">
        <v>1803</v>
      </c>
      <c r="K90" s="144" t="s">
        <v>2269</v>
      </c>
    </row>
    <row r="91" spans="1:11" x14ac:dyDescent="0.25">
      <c r="A91" s="144" t="s">
        <v>1966</v>
      </c>
      <c r="B91" s="145">
        <v>3195</v>
      </c>
      <c r="C91" s="144" t="s">
        <v>1798</v>
      </c>
      <c r="D91" s="146">
        <v>283.25</v>
      </c>
      <c r="E91" s="144" t="s">
        <v>1799</v>
      </c>
      <c r="F91" s="144" t="s">
        <v>1800</v>
      </c>
      <c r="G91" s="144" t="s">
        <v>1801</v>
      </c>
      <c r="H91" s="144"/>
      <c r="I91" s="144" t="s">
        <v>1802</v>
      </c>
      <c r="J91" s="144" t="s">
        <v>1803</v>
      </c>
      <c r="K91" s="144" t="s">
        <v>2270</v>
      </c>
    </row>
    <row r="92" spans="1:11" x14ac:dyDescent="0.25">
      <c r="A92" s="144" t="s">
        <v>1966</v>
      </c>
      <c r="B92" s="145">
        <v>3196</v>
      </c>
      <c r="C92" s="144" t="s">
        <v>1798</v>
      </c>
      <c r="D92" s="146">
        <v>52.05</v>
      </c>
      <c r="E92" s="144" t="s">
        <v>1799</v>
      </c>
      <c r="F92" s="144" t="s">
        <v>1800</v>
      </c>
      <c r="G92" s="144" t="s">
        <v>1801</v>
      </c>
      <c r="H92" s="144"/>
      <c r="I92" s="144" t="s">
        <v>1802</v>
      </c>
      <c r="J92" s="144" t="s">
        <v>1803</v>
      </c>
      <c r="K92" s="144" t="s">
        <v>2271</v>
      </c>
    </row>
    <row r="93" spans="1:11" x14ac:dyDescent="0.25">
      <c r="A93" s="144" t="s">
        <v>1966</v>
      </c>
      <c r="B93" s="145">
        <v>3197</v>
      </c>
      <c r="C93" s="144" t="s">
        <v>1798</v>
      </c>
      <c r="D93" s="146">
        <v>13.01</v>
      </c>
      <c r="E93" s="144" t="s">
        <v>1799</v>
      </c>
      <c r="F93" s="144" t="s">
        <v>1800</v>
      </c>
      <c r="G93" s="144" t="s">
        <v>1801</v>
      </c>
      <c r="H93" s="144"/>
      <c r="I93" s="144" t="s">
        <v>1802</v>
      </c>
      <c r="J93" s="144" t="s">
        <v>1803</v>
      </c>
      <c r="K93" s="144" t="s">
        <v>2272</v>
      </c>
    </row>
    <row r="94" spans="1:11" x14ac:dyDescent="0.25">
      <c r="A94" s="144" t="s">
        <v>1966</v>
      </c>
      <c r="B94" s="145">
        <v>3198</v>
      </c>
      <c r="C94" s="144" t="s">
        <v>1798</v>
      </c>
      <c r="D94" s="146">
        <v>2</v>
      </c>
      <c r="E94" s="144" t="s">
        <v>1799</v>
      </c>
      <c r="F94" s="144" t="s">
        <v>1800</v>
      </c>
      <c r="G94" s="144" t="s">
        <v>1801</v>
      </c>
      <c r="H94" s="144"/>
      <c r="I94" s="144" t="s">
        <v>1802</v>
      </c>
      <c r="J94" s="144" t="s">
        <v>1803</v>
      </c>
      <c r="K94" s="144" t="s">
        <v>2273</v>
      </c>
    </row>
    <row r="95" spans="1:11" x14ac:dyDescent="0.25">
      <c r="A95" s="144" t="s">
        <v>1966</v>
      </c>
      <c r="B95" s="145">
        <v>3199</v>
      </c>
      <c r="C95" s="144" t="s">
        <v>1798</v>
      </c>
      <c r="D95" s="146">
        <v>268.24</v>
      </c>
      <c r="E95" s="144" t="s">
        <v>1799</v>
      </c>
      <c r="F95" s="144" t="s">
        <v>1800</v>
      </c>
      <c r="G95" s="144" t="s">
        <v>1801</v>
      </c>
      <c r="H95" s="144"/>
      <c r="I95" s="144" t="s">
        <v>1802</v>
      </c>
      <c r="J95" s="144" t="s">
        <v>1803</v>
      </c>
      <c r="K95" s="144" t="s">
        <v>2274</v>
      </c>
    </row>
    <row r="96" spans="1:11" x14ac:dyDescent="0.25">
      <c r="A96" s="144" t="s">
        <v>1966</v>
      </c>
      <c r="B96" s="145">
        <v>3200</v>
      </c>
      <c r="C96" s="144" t="s">
        <v>1798</v>
      </c>
      <c r="D96" s="146">
        <v>45.04</v>
      </c>
      <c r="E96" s="144" t="s">
        <v>1799</v>
      </c>
      <c r="F96" s="144" t="s">
        <v>1800</v>
      </c>
      <c r="G96" s="144" t="s">
        <v>1801</v>
      </c>
      <c r="H96" s="144"/>
      <c r="I96" s="144" t="s">
        <v>1802</v>
      </c>
      <c r="J96" s="144" t="s">
        <v>1803</v>
      </c>
      <c r="K96" s="144" t="s">
        <v>2275</v>
      </c>
    </row>
    <row r="97" spans="1:11" x14ac:dyDescent="0.25">
      <c r="A97" s="144" t="s">
        <v>1966</v>
      </c>
      <c r="B97" s="145">
        <v>3201</v>
      </c>
      <c r="C97" s="144" t="s">
        <v>1798</v>
      </c>
      <c r="D97" s="146">
        <v>162.15</v>
      </c>
      <c r="E97" s="144" t="s">
        <v>1799</v>
      </c>
      <c r="F97" s="144" t="s">
        <v>1800</v>
      </c>
      <c r="G97" s="144" t="s">
        <v>1801</v>
      </c>
      <c r="H97" s="144"/>
      <c r="I97" s="144" t="s">
        <v>1802</v>
      </c>
      <c r="J97" s="144" t="s">
        <v>1803</v>
      </c>
      <c r="K97" s="144" t="s">
        <v>2276</v>
      </c>
    </row>
    <row r="98" spans="1:11" x14ac:dyDescent="0.25">
      <c r="A98" s="144" t="s">
        <v>1966</v>
      </c>
      <c r="B98" s="145">
        <v>3202</v>
      </c>
      <c r="C98" s="144" t="s">
        <v>1798</v>
      </c>
      <c r="D98" s="146">
        <v>284.26</v>
      </c>
      <c r="E98" s="144" t="s">
        <v>1799</v>
      </c>
      <c r="F98" s="144" t="s">
        <v>1800</v>
      </c>
      <c r="G98" s="144" t="s">
        <v>1801</v>
      </c>
      <c r="H98" s="144"/>
      <c r="I98" s="144" t="s">
        <v>1802</v>
      </c>
      <c r="J98" s="144" t="s">
        <v>1803</v>
      </c>
      <c r="K98" s="144" t="s">
        <v>2277</v>
      </c>
    </row>
    <row r="99" spans="1:11" x14ac:dyDescent="0.25">
      <c r="A99" s="144" t="s">
        <v>1966</v>
      </c>
      <c r="B99" s="145">
        <v>3203</v>
      </c>
      <c r="C99" s="144" t="s">
        <v>1798</v>
      </c>
      <c r="D99" s="146">
        <v>18.02</v>
      </c>
      <c r="E99" s="144" t="s">
        <v>1799</v>
      </c>
      <c r="F99" s="144" t="s">
        <v>1800</v>
      </c>
      <c r="G99" s="144" t="s">
        <v>1801</v>
      </c>
      <c r="H99" s="144"/>
      <c r="I99" s="144" t="s">
        <v>1802</v>
      </c>
      <c r="J99" s="144" t="s">
        <v>1803</v>
      </c>
      <c r="K99" s="144" t="s">
        <v>2278</v>
      </c>
    </row>
    <row r="100" spans="1:11" x14ac:dyDescent="0.25">
      <c r="A100" s="144" t="s">
        <v>1966</v>
      </c>
      <c r="B100" s="145">
        <v>3204</v>
      </c>
      <c r="C100" s="144" t="s">
        <v>1798</v>
      </c>
      <c r="D100" s="146">
        <v>441.4</v>
      </c>
      <c r="E100" s="144" t="s">
        <v>1799</v>
      </c>
      <c r="F100" s="144" t="s">
        <v>1800</v>
      </c>
      <c r="G100" s="144" t="s">
        <v>1801</v>
      </c>
      <c r="H100" s="144"/>
      <c r="I100" s="144" t="s">
        <v>1802</v>
      </c>
      <c r="J100" s="144" t="s">
        <v>1803</v>
      </c>
      <c r="K100" s="144" t="s">
        <v>2279</v>
      </c>
    </row>
    <row r="101" spans="1:11" x14ac:dyDescent="0.25">
      <c r="A101" s="144" t="s">
        <v>1966</v>
      </c>
      <c r="B101" s="145">
        <v>3205</v>
      </c>
      <c r="C101" s="144" t="s">
        <v>1798</v>
      </c>
      <c r="D101" s="146">
        <v>88.08</v>
      </c>
      <c r="E101" s="144" t="s">
        <v>1799</v>
      </c>
      <c r="F101" s="144" t="s">
        <v>1800</v>
      </c>
      <c r="G101" s="144" t="s">
        <v>1801</v>
      </c>
      <c r="H101" s="144"/>
      <c r="I101" s="144" t="s">
        <v>1802</v>
      </c>
      <c r="J101" s="144" t="s">
        <v>1803</v>
      </c>
      <c r="K101" s="144" t="s">
        <v>2280</v>
      </c>
    </row>
    <row r="102" spans="1:11" x14ac:dyDescent="0.25">
      <c r="A102" s="144" t="s">
        <v>1966</v>
      </c>
      <c r="B102" s="145">
        <v>3206</v>
      </c>
      <c r="C102" s="144" t="s">
        <v>1798</v>
      </c>
      <c r="D102" s="146">
        <v>200.18</v>
      </c>
      <c r="E102" s="144" t="s">
        <v>1799</v>
      </c>
      <c r="F102" s="144" t="s">
        <v>1800</v>
      </c>
      <c r="G102" s="144" t="s">
        <v>1801</v>
      </c>
      <c r="H102" s="144"/>
      <c r="I102" s="144" t="s">
        <v>1802</v>
      </c>
      <c r="J102" s="144" t="s">
        <v>1803</v>
      </c>
      <c r="K102" s="144" t="s">
        <v>2281</v>
      </c>
    </row>
    <row r="103" spans="1:11" x14ac:dyDescent="0.25">
      <c r="A103" s="144" t="s">
        <v>1966</v>
      </c>
      <c r="B103" s="145">
        <v>3207</v>
      </c>
      <c r="C103" s="144" t="s">
        <v>1798</v>
      </c>
      <c r="D103" s="146">
        <v>22.02</v>
      </c>
      <c r="E103" s="144" t="s">
        <v>1799</v>
      </c>
      <c r="F103" s="144" t="s">
        <v>1800</v>
      </c>
      <c r="G103" s="144" t="s">
        <v>1801</v>
      </c>
      <c r="H103" s="144"/>
      <c r="I103" s="144" t="s">
        <v>1802</v>
      </c>
      <c r="J103" s="144" t="s">
        <v>1803</v>
      </c>
      <c r="K103" s="144" t="s">
        <v>2282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Z74"/>
  <sheetViews>
    <sheetView topLeftCell="A28" workbookViewId="0">
      <selection activeCell="E391" sqref="E391"/>
    </sheetView>
  </sheetViews>
  <sheetFormatPr defaultRowHeight="15.75" x14ac:dyDescent="0.25"/>
  <cols>
    <col min="3" max="3" width="12.375" bestFit="1" customWidth="1"/>
  </cols>
  <sheetData>
    <row r="5" spans="3:25" x14ac:dyDescent="0.25">
      <c r="C5">
        <v>40145.300000000003</v>
      </c>
      <c r="D5">
        <v>40145.300000000003</v>
      </c>
      <c r="E5">
        <v>3212.2</v>
      </c>
      <c r="F5">
        <v>11546.8</v>
      </c>
      <c r="G5">
        <v>17333.300000000003</v>
      </c>
      <c r="H5">
        <v>23254.100000000002</v>
      </c>
      <c r="I5">
        <v>37571.199999999997</v>
      </c>
      <c r="J5">
        <v>53968.100000000006</v>
      </c>
      <c r="K5">
        <v>37508.1</v>
      </c>
      <c r="L5">
        <v>59508.2</v>
      </c>
      <c r="M5">
        <v>34585</v>
      </c>
      <c r="N5">
        <v>11544.5</v>
      </c>
      <c r="O5">
        <v>11533.800000000001</v>
      </c>
      <c r="P5">
        <v>10560.6</v>
      </c>
      <c r="Q5">
        <v>44820.4</v>
      </c>
      <c r="R5">
        <v>12394.6</v>
      </c>
      <c r="S5">
        <v>13116</v>
      </c>
      <c r="T5">
        <v>4547.7</v>
      </c>
      <c r="U5">
        <v>15289.2</v>
      </c>
      <c r="V5">
        <v>7319.8</v>
      </c>
      <c r="W5">
        <v>21577.600000000002</v>
      </c>
      <c r="X5">
        <v>17019.7</v>
      </c>
      <c r="Y5">
        <v>7251.1</v>
      </c>
    </row>
    <row r="6" spans="3:25" x14ac:dyDescent="0.25">
      <c r="C6">
        <v>3212.2</v>
      </c>
    </row>
    <row r="7" spans="3:25" x14ac:dyDescent="0.25">
      <c r="C7">
        <v>11546.8</v>
      </c>
      <c r="G7" s="138">
        <v>6088.245766</v>
      </c>
    </row>
    <row r="8" spans="3:25" x14ac:dyDescent="0.25">
      <c r="C8">
        <v>17333.300000000003</v>
      </c>
      <c r="G8" s="138">
        <v>484.74142999999998</v>
      </c>
    </row>
    <row r="9" spans="3:25" x14ac:dyDescent="0.25">
      <c r="C9">
        <v>23254.100000000002</v>
      </c>
      <c r="G9" s="138">
        <v>2547.5906620000005</v>
      </c>
    </row>
    <row r="10" spans="3:25" x14ac:dyDescent="0.25">
      <c r="C10">
        <v>37571.199999999997</v>
      </c>
      <c r="G10" s="138">
        <v>4029.3543030000001</v>
      </c>
    </row>
    <row r="11" spans="3:25" x14ac:dyDescent="0.25">
      <c r="C11">
        <v>53968.100000000006</v>
      </c>
      <c r="G11" s="138">
        <v>5232.4983509999993</v>
      </c>
    </row>
    <row r="12" spans="3:25" x14ac:dyDescent="0.25">
      <c r="C12">
        <v>37508.1</v>
      </c>
      <c r="G12" s="138">
        <v>7802.3087859999996</v>
      </c>
    </row>
    <row r="13" spans="3:25" x14ac:dyDescent="0.25">
      <c r="C13">
        <v>59508.2</v>
      </c>
      <c r="G13" s="138">
        <v>10699.640603000002</v>
      </c>
    </row>
    <row r="14" spans="3:25" x14ac:dyDescent="0.25">
      <c r="C14">
        <v>34585</v>
      </c>
    </row>
    <row r="15" spans="3:25" x14ac:dyDescent="0.25">
      <c r="C15">
        <v>11544.5</v>
      </c>
    </row>
    <row r="16" spans="3:25" x14ac:dyDescent="0.25">
      <c r="C16">
        <v>11533.800000000001</v>
      </c>
    </row>
    <row r="17" spans="3:26" x14ac:dyDescent="0.25">
      <c r="C17">
        <v>10560.6</v>
      </c>
    </row>
    <row r="18" spans="3:26" x14ac:dyDescent="0.25">
      <c r="C18">
        <v>44820.4</v>
      </c>
    </row>
    <row r="19" spans="3:26" x14ac:dyDescent="0.25">
      <c r="C19">
        <v>12394.6</v>
      </c>
    </row>
    <row r="20" spans="3:26" x14ac:dyDescent="0.25">
      <c r="C20">
        <v>13116</v>
      </c>
    </row>
    <row r="21" spans="3:26" x14ac:dyDescent="0.25">
      <c r="C21">
        <v>4547.7</v>
      </c>
    </row>
    <row r="22" spans="3:26" x14ac:dyDescent="0.25">
      <c r="C22">
        <v>15289.2</v>
      </c>
    </row>
    <row r="23" spans="3:26" x14ac:dyDescent="0.25">
      <c r="C23">
        <v>7319.8</v>
      </c>
    </row>
    <row r="24" spans="3:26" x14ac:dyDescent="0.25">
      <c r="C24">
        <v>21577.600000000002</v>
      </c>
    </row>
    <row r="25" spans="3:26" x14ac:dyDescent="0.25">
      <c r="C25">
        <v>17019.7</v>
      </c>
    </row>
    <row r="26" spans="3:26" x14ac:dyDescent="0.25">
      <c r="C26">
        <v>7251.1</v>
      </c>
    </row>
    <row r="29" spans="3:26" x14ac:dyDescent="0.25">
      <c r="C29" s="138">
        <v>6088.245766</v>
      </c>
      <c r="D29" s="138">
        <v>6088.245766</v>
      </c>
      <c r="E29" s="138">
        <v>484.74142999999998</v>
      </c>
      <c r="F29" s="138">
        <v>2547.5906620000005</v>
      </c>
      <c r="G29" s="138">
        <v>4029.3543030000001</v>
      </c>
      <c r="H29" s="138">
        <v>5232.4983509999993</v>
      </c>
      <c r="I29" s="138">
        <v>7802.3087859999996</v>
      </c>
      <c r="J29" s="138">
        <v>10699.640603000002</v>
      </c>
      <c r="K29" s="138">
        <v>8123.6850770000001</v>
      </c>
      <c r="L29" s="138">
        <v>11647.7662</v>
      </c>
      <c r="M29" s="138">
        <v>7519.5787990000008</v>
      </c>
      <c r="N29" s="138">
        <v>2480.2239949999998</v>
      </c>
      <c r="O29" s="138">
        <v>2610.3626750000003</v>
      </c>
      <c r="P29" s="138">
        <v>2275.2579179999993</v>
      </c>
      <c r="Q29" s="138">
        <v>7177.4625930000002</v>
      </c>
      <c r="R29" s="138">
        <v>2948.0327810000008</v>
      </c>
      <c r="S29" s="138">
        <v>3036.4621550000002</v>
      </c>
      <c r="T29" s="138">
        <v>0</v>
      </c>
      <c r="U29" s="138">
        <v>3516.8067180000003</v>
      </c>
      <c r="V29" s="138">
        <v>1389.653472</v>
      </c>
      <c r="W29" s="138">
        <v>4127.1641980000004</v>
      </c>
      <c r="X29" s="138">
        <v>3456.3225640000001</v>
      </c>
      <c r="Y29" s="138">
        <v>1375.32557</v>
      </c>
      <c r="Z29" s="138">
        <v>2088.984524</v>
      </c>
    </row>
    <row r="30" spans="3:26" x14ac:dyDescent="0.25">
      <c r="C30" s="138">
        <v>484.74142999999998</v>
      </c>
      <c r="D30">
        <v>6088.245766</v>
      </c>
      <c r="E30">
        <v>484.74142999999998</v>
      </c>
      <c r="F30">
        <v>2547.5906620000005</v>
      </c>
      <c r="G30">
        <v>4029.3543030000001</v>
      </c>
      <c r="H30">
        <v>5232.4983509999993</v>
      </c>
      <c r="I30">
        <v>7802.3087859999996</v>
      </c>
      <c r="J30">
        <v>10699.640603000002</v>
      </c>
      <c r="K30">
        <v>8123.6850770000001</v>
      </c>
      <c r="L30">
        <v>11647.7662</v>
      </c>
      <c r="M30">
        <v>7519.5787990000008</v>
      </c>
      <c r="N30">
        <v>2480.2239949999998</v>
      </c>
      <c r="O30">
        <v>2610.3626750000003</v>
      </c>
      <c r="P30">
        <v>2275.2579179999993</v>
      </c>
      <c r="Q30">
        <v>7177.4625930000002</v>
      </c>
      <c r="R30">
        <v>2948.0327810000008</v>
      </c>
      <c r="S30">
        <v>3036.4621550000002</v>
      </c>
      <c r="T30">
        <v>0</v>
      </c>
      <c r="U30">
        <v>3516.8067180000003</v>
      </c>
      <c r="V30">
        <v>1389.653472</v>
      </c>
      <c r="W30">
        <v>4127.1641980000004</v>
      </c>
      <c r="X30">
        <v>3456.3225640000001</v>
      </c>
      <c r="Y30">
        <v>1375.32557</v>
      </c>
      <c r="Z30">
        <v>2088.984524</v>
      </c>
    </row>
    <row r="31" spans="3:26" x14ac:dyDescent="0.25">
      <c r="C31" s="138">
        <v>2547.5906620000005</v>
      </c>
    </row>
    <row r="32" spans="3:26" x14ac:dyDescent="0.25">
      <c r="C32" s="138">
        <v>4029.3543030000001</v>
      </c>
    </row>
    <row r="33" spans="3:3" x14ac:dyDescent="0.25">
      <c r="C33" s="138">
        <v>5232.4983509999993</v>
      </c>
    </row>
    <row r="34" spans="3:3" x14ac:dyDescent="0.25">
      <c r="C34" s="138">
        <v>7802.3087859999996</v>
      </c>
    </row>
    <row r="35" spans="3:3" x14ac:dyDescent="0.25">
      <c r="C35" s="138">
        <v>10699.640603000002</v>
      </c>
    </row>
    <row r="36" spans="3:3" x14ac:dyDescent="0.25">
      <c r="C36" s="138">
        <v>8123.6850770000001</v>
      </c>
    </row>
    <row r="37" spans="3:3" x14ac:dyDescent="0.25">
      <c r="C37" s="138">
        <v>11647.7662</v>
      </c>
    </row>
    <row r="38" spans="3:3" x14ac:dyDescent="0.25">
      <c r="C38" s="138">
        <v>7519.5787990000008</v>
      </c>
    </row>
    <row r="39" spans="3:3" x14ac:dyDescent="0.25">
      <c r="C39" s="138">
        <v>2480.2239949999998</v>
      </c>
    </row>
    <row r="40" spans="3:3" x14ac:dyDescent="0.25">
      <c r="C40" s="138">
        <v>2610.3626750000003</v>
      </c>
    </row>
    <row r="41" spans="3:3" x14ac:dyDescent="0.25">
      <c r="C41" s="138">
        <v>2275.2579179999993</v>
      </c>
    </row>
    <row r="42" spans="3:3" x14ac:dyDescent="0.25">
      <c r="C42" s="138">
        <v>7177.4625930000002</v>
      </c>
    </row>
    <row r="43" spans="3:3" x14ac:dyDescent="0.25">
      <c r="C43" s="138">
        <v>2948.0327810000008</v>
      </c>
    </row>
    <row r="44" spans="3:3" x14ac:dyDescent="0.25">
      <c r="C44" s="138">
        <v>3036.4621550000002</v>
      </c>
    </row>
    <row r="45" spans="3:3" x14ac:dyDescent="0.25">
      <c r="C45" s="138">
        <v>0</v>
      </c>
    </row>
    <row r="46" spans="3:3" x14ac:dyDescent="0.25">
      <c r="C46" s="138">
        <v>3516.8067180000003</v>
      </c>
    </row>
    <row r="47" spans="3:3" x14ac:dyDescent="0.25">
      <c r="C47" s="138">
        <v>1389.653472</v>
      </c>
    </row>
    <row r="48" spans="3:3" x14ac:dyDescent="0.25">
      <c r="C48" s="138">
        <v>4127.1641980000004</v>
      </c>
    </row>
    <row r="49" spans="3:25" x14ac:dyDescent="0.25">
      <c r="C49" s="138">
        <v>3456.3225640000001</v>
      </c>
    </row>
    <row r="50" spans="3:25" x14ac:dyDescent="0.25">
      <c r="C50" s="138">
        <v>1375.32557</v>
      </c>
    </row>
    <row r="51" spans="3:25" x14ac:dyDescent="0.25">
      <c r="C51" s="138">
        <v>2088.984524</v>
      </c>
    </row>
    <row r="53" spans="3:25" x14ac:dyDescent="0.25">
      <c r="C53" s="47">
        <v>11982950.9</v>
      </c>
      <c r="D53" s="47">
        <v>11982950.9</v>
      </c>
      <c r="E53" s="47">
        <v>954166.79</v>
      </c>
      <c r="F53" s="47">
        <v>5023271.92</v>
      </c>
      <c r="G53" s="47">
        <v>7933166.5</v>
      </c>
      <c r="H53" s="47">
        <v>10308823.119999999</v>
      </c>
      <c r="I53" s="47">
        <v>15375319.73</v>
      </c>
      <c r="J53" s="47">
        <v>21071168.870000001</v>
      </c>
      <c r="K53" s="47">
        <v>16009015.74</v>
      </c>
      <c r="L53" s="47">
        <v>22962347.609999999</v>
      </c>
      <c r="M53" s="47">
        <v>14822320.34</v>
      </c>
      <c r="N53" s="47">
        <v>4886258.2300000004</v>
      </c>
      <c r="O53" s="47">
        <v>5143045.2300000004</v>
      </c>
      <c r="P53" s="47">
        <v>4481427.59</v>
      </c>
      <c r="Q53" s="47">
        <v>14140363.24</v>
      </c>
      <c r="R53" s="47">
        <v>5805179</v>
      </c>
      <c r="S53" s="47">
        <v>5980811.8200000003</v>
      </c>
      <c r="T53">
        <v>0</v>
      </c>
      <c r="U53" s="47">
        <v>6926613.75</v>
      </c>
      <c r="V53" s="47">
        <v>2740743.33</v>
      </c>
      <c r="W53" s="47">
        <v>8122142.4100000001</v>
      </c>
      <c r="X53" s="47">
        <v>6803514.7199999997</v>
      </c>
      <c r="Y53" s="47">
        <v>2710887.19</v>
      </c>
    </row>
    <row r="54" spans="3:25" x14ac:dyDescent="0.25">
      <c r="C54" s="47">
        <v>954166.79</v>
      </c>
    </row>
    <row r="55" spans="3:25" x14ac:dyDescent="0.25">
      <c r="C55" s="47">
        <v>5023271.92</v>
      </c>
    </row>
    <row r="56" spans="3:25" x14ac:dyDescent="0.25">
      <c r="C56" s="47">
        <v>7933166.5</v>
      </c>
    </row>
    <row r="57" spans="3:25" x14ac:dyDescent="0.25">
      <c r="C57" s="47">
        <v>10308823.119999999</v>
      </c>
    </row>
    <row r="58" spans="3:25" x14ac:dyDescent="0.25">
      <c r="C58" s="47">
        <v>15375319.73</v>
      </c>
    </row>
    <row r="59" spans="3:25" x14ac:dyDescent="0.25">
      <c r="C59" s="47">
        <v>21071168.870000001</v>
      </c>
    </row>
    <row r="60" spans="3:25" x14ac:dyDescent="0.25">
      <c r="C60" s="47">
        <v>16009015.74</v>
      </c>
    </row>
    <row r="61" spans="3:25" x14ac:dyDescent="0.25">
      <c r="C61" s="47">
        <v>22962347.609999999</v>
      </c>
    </row>
    <row r="62" spans="3:25" x14ac:dyDescent="0.25">
      <c r="C62" s="47">
        <v>14822320.34</v>
      </c>
    </row>
    <row r="63" spans="3:25" x14ac:dyDescent="0.25">
      <c r="C63" s="47">
        <v>4886258.2300000004</v>
      </c>
    </row>
    <row r="64" spans="3:25" x14ac:dyDescent="0.25">
      <c r="C64" s="47">
        <v>5143045.2300000004</v>
      </c>
    </row>
    <row r="65" spans="3:3" x14ac:dyDescent="0.25">
      <c r="C65" s="47">
        <v>4481427.59</v>
      </c>
    </row>
    <row r="66" spans="3:3" x14ac:dyDescent="0.25">
      <c r="C66" s="47">
        <v>14140363.24</v>
      </c>
    </row>
    <row r="67" spans="3:3" x14ac:dyDescent="0.25">
      <c r="C67" s="47">
        <v>5805179</v>
      </c>
    </row>
    <row r="68" spans="3:3" x14ac:dyDescent="0.25">
      <c r="C68" s="47">
        <v>5980811.8200000003</v>
      </c>
    </row>
    <row r="69" spans="3:3" x14ac:dyDescent="0.25">
      <c r="C69">
        <v>0</v>
      </c>
    </row>
    <row r="70" spans="3:3" x14ac:dyDescent="0.25">
      <c r="C70" s="47">
        <v>6926613.75</v>
      </c>
    </row>
    <row r="71" spans="3:3" x14ac:dyDescent="0.25">
      <c r="C71" s="47">
        <v>2740743.33</v>
      </c>
    </row>
    <row r="72" spans="3:3" x14ac:dyDescent="0.25">
      <c r="C72" s="47">
        <v>8122142.4100000001</v>
      </c>
    </row>
    <row r="73" spans="3:3" x14ac:dyDescent="0.25">
      <c r="C73" s="47">
        <v>6803514.7199999997</v>
      </c>
    </row>
    <row r="74" spans="3:3" x14ac:dyDescent="0.25">
      <c r="C74" s="47">
        <v>2710887.19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K75"/>
  <sheetViews>
    <sheetView topLeftCell="F1" workbookViewId="0">
      <selection activeCell="E391" sqref="E391"/>
    </sheetView>
  </sheetViews>
  <sheetFormatPr defaultRowHeight="15.75" x14ac:dyDescent="0.25"/>
  <cols>
    <col min="1" max="1" width="12.5" bestFit="1" customWidth="1"/>
    <col min="2" max="2" width="9.125" bestFit="1" customWidth="1"/>
    <col min="3" max="3" width="13.875" bestFit="1" customWidth="1"/>
    <col min="4" max="4" width="8.75" bestFit="1" customWidth="1"/>
    <col min="5" max="5" width="26" bestFit="1" customWidth="1"/>
    <col min="6" max="6" width="17.625" bestFit="1" customWidth="1"/>
    <col min="8" max="8" width="10.625" bestFit="1" customWidth="1"/>
    <col min="9" max="9" width="11.375" bestFit="1" customWidth="1"/>
    <col min="10" max="10" width="18.25" bestFit="1" customWidth="1"/>
    <col min="11" max="11" width="124.5" bestFit="1" customWidth="1"/>
  </cols>
  <sheetData>
    <row r="1" spans="1:11" x14ac:dyDescent="0.25">
      <c r="A1" s="148" t="s">
        <v>1786</v>
      </c>
      <c r="B1" s="148" t="s">
        <v>1787</v>
      </c>
      <c r="C1" s="148" t="s">
        <v>1788</v>
      </c>
      <c r="D1" s="148" t="s">
        <v>1789</v>
      </c>
      <c r="E1" s="148" t="s">
        <v>1790</v>
      </c>
      <c r="F1" s="148" t="s">
        <v>1791</v>
      </c>
      <c r="G1" s="148" t="s">
        <v>1792</v>
      </c>
      <c r="H1" s="148" t="s">
        <v>1793</v>
      </c>
      <c r="I1" s="148" t="s">
        <v>1794</v>
      </c>
      <c r="J1" s="148" t="s">
        <v>1795</v>
      </c>
      <c r="K1" s="148" t="s">
        <v>1796</v>
      </c>
    </row>
    <row r="2" spans="1:11" x14ac:dyDescent="0.25">
      <c r="A2" s="149" t="s">
        <v>1797</v>
      </c>
      <c r="B2" s="150">
        <v>24</v>
      </c>
      <c r="C2" s="149" t="s">
        <v>1798</v>
      </c>
      <c r="D2" s="151">
        <v>75318.58</v>
      </c>
      <c r="E2" s="149" t="s">
        <v>1799</v>
      </c>
      <c r="F2" s="149" t="s">
        <v>1800</v>
      </c>
      <c r="G2" s="149" t="s">
        <v>1801</v>
      </c>
      <c r="H2" s="149"/>
      <c r="I2" s="149" t="s">
        <v>1802</v>
      </c>
      <c r="J2" s="149" t="s">
        <v>1803</v>
      </c>
      <c r="K2" s="149" t="s">
        <v>2284</v>
      </c>
    </row>
    <row r="3" spans="1:11" hidden="1" x14ac:dyDescent="0.25">
      <c r="A3" s="149" t="s">
        <v>1797</v>
      </c>
      <c r="B3" s="150">
        <v>32</v>
      </c>
      <c r="C3" s="149" t="s">
        <v>1798</v>
      </c>
      <c r="D3" s="152">
        <v>204.2</v>
      </c>
      <c r="E3" s="149" t="s">
        <v>1799</v>
      </c>
      <c r="F3" s="149" t="s">
        <v>1800</v>
      </c>
      <c r="G3" s="149" t="s">
        <v>1801</v>
      </c>
      <c r="H3" s="149"/>
      <c r="I3" s="149" t="s">
        <v>1802</v>
      </c>
      <c r="J3" s="149" t="s">
        <v>1803</v>
      </c>
      <c r="K3" s="149" t="s">
        <v>2188</v>
      </c>
    </row>
    <row r="4" spans="1:11" hidden="1" x14ac:dyDescent="0.25">
      <c r="A4" s="149" t="s">
        <v>1797</v>
      </c>
      <c r="B4" s="150">
        <v>33</v>
      </c>
      <c r="C4" s="149" t="s">
        <v>1798</v>
      </c>
      <c r="D4" s="152">
        <v>289.29000000000002</v>
      </c>
      <c r="E4" s="149" t="s">
        <v>1799</v>
      </c>
      <c r="F4" s="149" t="s">
        <v>1800</v>
      </c>
      <c r="G4" s="149" t="s">
        <v>1801</v>
      </c>
      <c r="H4" s="149"/>
      <c r="I4" s="149" t="s">
        <v>1802</v>
      </c>
      <c r="J4" s="149" t="s">
        <v>1803</v>
      </c>
      <c r="K4" s="149" t="s">
        <v>2189</v>
      </c>
    </row>
    <row r="5" spans="1:11" x14ac:dyDescent="0.25">
      <c r="A5" s="149" t="s">
        <v>1816</v>
      </c>
      <c r="B5" s="150">
        <v>181</v>
      </c>
      <c r="C5" s="149" t="s">
        <v>1798</v>
      </c>
      <c r="D5" s="151">
        <v>120404.08</v>
      </c>
      <c r="E5" s="149" t="s">
        <v>1799</v>
      </c>
      <c r="F5" s="149" t="s">
        <v>1800</v>
      </c>
      <c r="G5" s="149" t="s">
        <v>1801</v>
      </c>
      <c r="H5" s="149"/>
      <c r="I5" s="149" t="s">
        <v>1802</v>
      </c>
      <c r="J5" s="149" t="s">
        <v>1803</v>
      </c>
      <c r="K5" s="149" t="s">
        <v>1817</v>
      </c>
    </row>
    <row r="6" spans="1:11" hidden="1" x14ac:dyDescent="0.25">
      <c r="A6" s="149" t="s">
        <v>1830</v>
      </c>
      <c r="B6" s="150">
        <v>573</v>
      </c>
      <c r="C6" s="149" t="s">
        <v>1798</v>
      </c>
      <c r="D6" s="151">
        <v>636760.31999999995</v>
      </c>
      <c r="E6" s="149" t="s">
        <v>1799</v>
      </c>
      <c r="F6" s="149" t="s">
        <v>1800</v>
      </c>
      <c r="G6" s="149" t="s">
        <v>1801</v>
      </c>
      <c r="H6" s="149"/>
      <c r="I6" s="149" t="s">
        <v>1802</v>
      </c>
      <c r="J6" s="149" t="s">
        <v>1803</v>
      </c>
      <c r="K6" s="149" t="s">
        <v>1831</v>
      </c>
    </row>
    <row r="7" spans="1:11" hidden="1" x14ac:dyDescent="0.25">
      <c r="A7" s="149" t="s">
        <v>1836</v>
      </c>
      <c r="B7" s="150">
        <v>726</v>
      </c>
      <c r="C7" s="149" t="s">
        <v>1798</v>
      </c>
      <c r="D7" s="151">
        <v>559809.47</v>
      </c>
      <c r="E7" s="149" t="s">
        <v>1799</v>
      </c>
      <c r="F7" s="149" t="s">
        <v>1800</v>
      </c>
      <c r="G7" s="149" t="s">
        <v>1801</v>
      </c>
      <c r="H7" s="149"/>
      <c r="I7" s="149" t="s">
        <v>1802</v>
      </c>
      <c r="J7" s="149" t="s">
        <v>1803</v>
      </c>
      <c r="K7" s="149" t="s">
        <v>1837</v>
      </c>
    </row>
    <row r="8" spans="1:11" hidden="1" x14ac:dyDescent="0.25">
      <c r="A8" s="149" t="s">
        <v>1836</v>
      </c>
      <c r="B8" s="150">
        <v>727</v>
      </c>
      <c r="C8" s="149" t="s">
        <v>1798</v>
      </c>
      <c r="D8" s="151">
        <v>1712306.8</v>
      </c>
      <c r="E8" s="149" t="s">
        <v>1799</v>
      </c>
      <c r="F8" s="149" t="s">
        <v>1800</v>
      </c>
      <c r="G8" s="149" t="s">
        <v>1801</v>
      </c>
      <c r="H8" s="149"/>
      <c r="I8" s="149" t="s">
        <v>1802</v>
      </c>
      <c r="J8" s="149" t="s">
        <v>1803</v>
      </c>
      <c r="K8" s="149" t="s">
        <v>1838</v>
      </c>
    </row>
    <row r="9" spans="1:11" x14ac:dyDescent="0.25">
      <c r="A9" s="149" t="s">
        <v>1836</v>
      </c>
      <c r="B9" s="150">
        <v>729</v>
      </c>
      <c r="C9" s="149" t="s">
        <v>1798</v>
      </c>
      <c r="D9" s="151">
        <v>78412.22</v>
      </c>
      <c r="E9" s="149" t="s">
        <v>1799</v>
      </c>
      <c r="F9" s="149" t="s">
        <v>1800</v>
      </c>
      <c r="G9" s="149" t="s">
        <v>1801</v>
      </c>
      <c r="H9" s="149"/>
      <c r="I9" s="149" t="s">
        <v>1802</v>
      </c>
      <c r="J9" s="149" t="s">
        <v>1803</v>
      </c>
      <c r="K9" s="149" t="s">
        <v>2286</v>
      </c>
    </row>
    <row r="10" spans="1:11" hidden="1" x14ac:dyDescent="0.25">
      <c r="A10" s="149" t="s">
        <v>1836</v>
      </c>
      <c r="B10" s="150">
        <v>737</v>
      </c>
      <c r="C10" s="149" t="s">
        <v>1798</v>
      </c>
      <c r="D10" s="152">
        <v>44.04</v>
      </c>
      <c r="E10" s="149" t="s">
        <v>1799</v>
      </c>
      <c r="F10" s="149" t="s">
        <v>1800</v>
      </c>
      <c r="G10" s="149" t="s">
        <v>1801</v>
      </c>
      <c r="H10" s="149"/>
      <c r="I10" s="149" t="s">
        <v>1802</v>
      </c>
      <c r="J10" s="149" t="s">
        <v>1803</v>
      </c>
      <c r="K10" s="149" t="s">
        <v>2202</v>
      </c>
    </row>
    <row r="11" spans="1:11" hidden="1" x14ac:dyDescent="0.25">
      <c r="A11" s="149" t="s">
        <v>1836</v>
      </c>
      <c r="B11" s="150">
        <v>738</v>
      </c>
      <c r="C11" s="149" t="s">
        <v>1798</v>
      </c>
      <c r="D11" s="152">
        <v>330.33</v>
      </c>
      <c r="E11" s="149" t="s">
        <v>1799</v>
      </c>
      <c r="F11" s="149" t="s">
        <v>1800</v>
      </c>
      <c r="G11" s="149" t="s">
        <v>1801</v>
      </c>
      <c r="H11" s="149"/>
      <c r="I11" s="149" t="s">
        <v>1802</v>
      </c>
      <c r="J11" s="149" t="s">
        <v>1803</v>
      </c>
      <c r="K11" s="149" t="s">
        <v>2203</v>
      </c>
    </row>
    <row r="12" spans="1:11" hidden="1" x14ac:dyDescent="0.25">
      <c r="A12" s="149" t="s">
        <v>1873</v>
      </c>
      <c r="B12" s="150">
        <v>1765</v>
      </c>
      <c r="C12" s="149" t="s">
        <v>1798</v>
      </c>
      <c r="D12" s="152">
        <v>64.06</v>
      </c>
      <c r="E12" s="149" t="s">
        <v>1799</v>
      </c>
      <c r="F12" s="149" t="s">
        <v>1800</v>
      </c>
      <c r="G12" s="149" t="s">
        <v>1801</v>
      </c>
      <c r="H12" s="149"/>
      <c r="I12" s="149" t="s">
        <v>1802</v>
      </c>
      <c r="J12" s="149" t="s">
        <v>1803</v>
      </c>
      <c r="K12" s="149" t="s">
        <v>2218</v>
      </c>
    </row>
    <row r="13" spans="1:11" hidden="1" x14ac:dyDescent="0.25">
      <c r="A13" s="149" t="s">
        <v>1873</v>
      </c>
      <c r="B13" s="150">
        <v>1766</v>
      </c>
      <c r="C13" s="149" t="s">
        <v>1798</v>
      </c>
      <c r="D13" s="152">
        <v>3</v>
      </c>
      <c r="E13" s="149" t="s">
        <v>1799</v>
      </c>
      <c r="F13" s="149" t="s">
        <v>1800</v>
      </c>
      <c r="G13" s="149" t="s">
        <v>1801</v>
      </c>
      <c r="H13" s="149"/>
      <c r="I13" s="149" t="s">
        <v>1802</v>
      </c>
      <c r="J13" s="149" t="s">
        <v>1803</v>
      </c>
      <c r="K13" s="149" t="s">
        <v>2219</v>
      </c>
    </row>
    <row r="14" spans="1:11" hidden="1" x14ac:dyDescent="0.25">
      <c r="A14" s="149" t="s">
        <v>1873</v>
      </c>
      <c r="B14" s="150">
        <v>1767</v>
      </c>
      <c r="C14" s="149" t="s">
        <v>1798</v>
      </c>
      <c r="D14" s="152">
        <v>357.32</v>
      </c>
      <c r="E14" s="149" t="s">
        <v>1799</v>
      </c>
      <c r="F14" s="149" t="s">
        <v>1800</v>
      </c>
      <c r="G14" s="149" t="s">
        <v>1801</v>
      </c>
      <c r="H14" s="149"/>
      <c r="I14" s="149" t="s">
        <v>1802</v>
      </c>
      <c r="J14" s="149" t="s">
        <v>1803</v>
      </c>
      <c r="K14" s="149" t="s">
        <v>2220</v>
      </c>
    </row>
    <row r="15" spans="1:11" x14ac:dyDescent="0.25">
      <c r="A15" s="149" t="s">
        <v>1885</v>
      </c>
      <c r="B15" s="150">
        <v>1994</v>
      </c>
      <c r="C15" s="149" t="s">
        <v>1798</v>
      </c>
      <c r="D15" s="151">
        <v>77125.64</v>
      </c>
      <c r="E15" s="149" t="s">
        <v>1799</v>
      </c>
      <c r="F15" s="149" t="s">
        <v>1800</v>
      </c>
      <c r="G15" s="149" t="s">
        <v>1801</v>
      </c>
      <c r="H15" s="149"/>
      <c r="I15" s="149" t="s">
        <v>1802</v>
      </c>
      <c r="J15" s="149" t="s">
        <v>1803</v>
      </c>
      <c r="K15" s="149" t="s">
        <v>2287</v>
      </c>
    </row>
    <row r="16" spans="1:11" x14ac:dyDescent="0.25">
      <c r="A16" s="149" t="s">
        <v>1918</v>
      </c>
      <c r="B16" s="150">
        <v>2470</v>
      </c>
      <c r="C16" s="149" t="s">
        <v>1798</v>
      </c>
      <c r="D16" s="151">
        <v>172815.33</v>
      </c>
      <c r="E16" s="149" t="s">
        <v>1799</v>
      </c>
      <c r="F16" s="149" t="s">
        <v>1800</v>
      </c>
      <c r="G16" s="149" t="s">
        <v>1801</v>
      </c>
      <c r="H16" s="149"/>
      <c r="I16" s="149" t="s">
        <v>1802</v>
      </c>
      <c r="J16" s="149" t="s">
        <v>1803</v>
      </c>
      <c r="K16" s="149" t="s">
        <v>1919</v>
      </c>
    </row>
    <row r="17" spans="1:11" hidden="1" x14ac:dyDescent="0.25">
      <c r="A17" s="149" t="s">
        <v>1918</v>
      </c>
      <c r="B17" s="150">
        <v>2479</v>
      </c>
      <c r="C17" s="149" t="s">
        <v>1798</v>
      </c>
      <c r="D17" s="152">
        <v>7.01</v>
      </c>
      <c r="E17" s="149" t="s">
        <v>1799</v>
      </c>
      <c r="F17" s="149" t="s">
        <v>1800</v>
      </c>
      <c r="G17" s="149" t="s">
        <v>1801</v>
      </c>
      <c r="H17" s="149"/>
      <c r="I17" s="149" t="s">
        <v>1802</v>
      </c>
      <c r="J17" s="149" t="s">
        <v>1803</v>
      </c>
      <c r="K17" s="149" t="s">
        <v>2237</v>
      </c>
    </row>
    <row r="18" spans="1:11" hidden="1" x14ac:dyDescent="0.25">
      <c r="A18" s="149" t="s">
        <v>1918</v>
      </c>
      <c r="B18" s="150">
        <v>2480</v>
      </c>
      <c r="C18" s="149" t="s">
        <v>1798</v>
      </c>
      <c r="D18" s="152">
        <v>6.01</v>
      </c>
      <c r="E18" s="149" t="s">
        <v>1799</v>
      </c>
      <c r="F18" s="149" t="s">
        <v>1800</v>
      </c>
      <c r="G18" s="149" t="s">
        <v>1801</v>
      </c>
      <c r="H18" s="149"/>
      <c r="I18" s="149" t="s">
        <v>1802</v>
      </c>
      <c r="J18" s="149" t="s">
        <v>1803</v>
      </c>
      <c r="K18" s="149" t="s">
        <v>2238</v>
      </c>
    </row>
    <row r="19" spans="1:11" hidden="1" x14ac:dyDescent="0.25">
      <c r="A19" s="149" t="s">
        <v>1918</v>
      </c>
      <c r="B19" s="150">
        <v>2481</v>
      </c>
      <c r="C19" s="149" t="s">
        <v>1798</v>
      </c>
      <c r="D19" s="152">
        <v>250.23</v>
      </c>
      <c r="E19" s="149" t="s">
        <v>1799</v>
      </c>
      <c r="F19" s="149" t="s">
        <v>1800</v>
      </c>
      <c r="G19" s="149" t="s">
        <v>1801</v>
      </c>
      <c r="H19" s="149"/>
      <c r="I19" s="149" t="s">
        <v>1802</v>
      </c>
      <c r="J19" s="149" t="s">
        <v>1803</v>
      </c>
      <c r="K19" s="149" t="s">
        <v>2239</v>
      </c>
    </row>
    <row r="20" spans="1:11" x14ac:dyDescent="0.25">
      <c r="A20" s="149" t="s">
        <v>1918</v>
      </c>
      <c r="B20" s="150">
        <v>2489</v>
      </c>
      <c r="C20" s="149" t="s">
        <v>1798</v>
      </c>
      <c r="D20" s="151">
        <v>72725.31</v>
      </c>
      <c r="E20" s="149" t="s">
        <v>1799</v>
      </c>
      <c r="F20" s="149" t="s">
        <v>1800</v>
      </c>
      <c r="G20" s="149" t="s">
        <v>1801</v>
      </c>
      <c r="H20" s="149"/>
      <c r="I20" s="149" t="s">
        <v>1802</v>
      </c>
      <c r="J20" s="149" t="s">
        <v>1803</v>
      </c>
      <c r="K20" s="149" t="s">
        <v>2289</v>
      </c>
    </row>
    <row r="21" spans="1:11" hidden="1" x14ac:dyDescent="0.25">
      <c r="A21" s="149" t="s">
        <v>1918</v>
      </c>
      <c r="B21" s="150">
        <v>2497</v>
      </c>
      <c r="C21" s="149" t="s">
        <v>1798</v>
      </c>
      <c r="D21" s="152">
        <v>51.05</v>
      </c>
      <c r="E21" s="149" t="s">
        <v>1799</v>
      </c>
      <c r="F21" s="149" t="s">
        <v>1800</v>
      </c>
      <c r="G21" s="149" t="s">
        <v>1801</v>
      </c>
      <c r="H21" s="149"/>
      <c r="I21" s="149" t="s">
        <v>1802</v>
      </c>
      <c r="J21" s="149" t="s">
        <v>1803</v>
      </c>
      <c r="K21" s="149" t="s">
        <v>2254</v>
      </c>
    </row>
    <row r="22" spans="1:11" hidden="1" x14ac:dyDescent="0.25">
      <c r="A22" s="149" t="s">
        <v>1918</v>
      </c>
      <c r="B22" s="150">
        <v>2498</v>
      </c>
      <c r="C22" s="149" t="s">
        <v>1798</v>
      </c>
      <c r="D22" s="152">
        <v>78.069999999999993</v>
      </c>
      <c r="E22" s="149" t="s">
        <v>1799</v>
      </c>
      <c r="F22" s="149" t="s">
        <v>1800</v>
      </c>
      <c r="G22" s="149" t="s">
        <v>1801</v>
      </c>
      <c r="H22" s="149"/>
      <c r="I22" s="149" t="s">
        <v>1802</v>
      </c>
      <c r="J22" s="149" t="s">
        <v>1803</v>
      </c>
      <c r="K22" s="149" t="s">
        <v>2255</v>
      </c>
    </row>
    <row r="23" spans="1:11" hidden="1" x14ac:dyDescent="0.25">
      <c r="A23" s="149" t="s">
        <v>1918</v>
      </c>
      <c r="B23" s="150">
        <v>2499</v>
      </c>
      <c r="C23" s="149" t="s">
        <v>1798</v>
      </c>
      <c r="D23" s="152">
        <v>368.33</v>
      </c>
      <c r="E23" s="149" t="s">
        <v>1799</v>
      </c>
      <c r="F23" s="149" t="s">
        <v>1800</v>
      </c>
      <c r="G23" s="149" t="s">
        <v>1801</v>
      </c>
      <c r="H23" s="149"/>
      <c r="I23" s="149" t="s">
        <v>1802</v>
      </c>
      <c r="J23" s="149" t="s">
        <v>1803</v>
      </c>
      <c r="K23" s="149" t="s">
        <v>2256</v>
      </c>
    </row>
    <row r="24" spans="1:11" x14ac:dyDescent="0.25">
      <c r="A24" s="149" t="s">
        <v>1918</v>
      </c>
      <c r="B24" s="150">
        <v>2511</v>
      </c>
      <c r="C24" s="149" t="s">
        <v>1798</v>
      </c>
      <c r="D24" s="151">
        <v>79805.990000000005</v>
      </c>
      <c r="E24" s="149" t="s">
        <v>1812</v>
      </c>
      <c r="F24" s="149" t="s">
        <v>1800</v>
      </c>
      <c r="G24" s="149" t="s">
        <v>1801</v>
      </c>
      <c r="H24" s="149"/>
      <c r="I24" s="149" t="s">
        <v>1802</v>
      </c>
      <c r="J24" s="149" t="s">
        <v>1803</v>
      </c>
      <c r="K24" s="149" t="s">
        <v>2290</v>
      </c>
    </row>
    <row r="25" spans="1:11" hidden="1" x14ac:dyDescent="0.25">
      <c r="A25" s="149" t="s">
        <v>1930</v>
      </c>
      <c r="B25" s="150">
        <v>2631</v>
      </c>
      <c r="C25" s="149" t="s">
        <v>1798</v>
      </c>
      <c r="D25" s="151">
        <v>698310.39</v>
      </c>
      <c r="E25" s="149" t="s">
        <v>1799</v>
      </c>
      <c r="F25" s="149" t="s">
        <v>1800</v>
      </c>
      <c r="G25" s="149" t="s">
        <v>1801</v>
      </c>
      <c r="H25" s="149"/>
      <c r="I25" s="149" t="s">
        <v>1802</v>
      </c>
      <c r="J25" s="149" t="s">
        <v>1803</v>
      </c>
      <c r="K25" s="149" t="s">
        <v>1931</v>
      </c>
    </row>
    <row r="26" spans="1:11" hidden="1" x14ac:dyDescent="0.25">
      <c r="A26" s="149" t="s">
        <v>1934</v>
      </c>
      <c r="B26" s="150">
        <v>2762</v>
      </c>
      <c r="C26" s="149" t="s">
        <v>1798</v>
      </c>
      <c r="D26" s="151">
        <v>772858.88</v>
      </c>
      <c r="E26" s="149" t="s">
        <v>1799</v>
      </c>
      <c r="F26" s="149" t="s">
        <v>1800</v>
      </c>
      <c r="G26" s="149" t="s">
        <v>1801</v>
      </c>
      <c r="H26" s="149"/>
      <c r="I26" s="149" t="s">
        <v>1802</v>
      </c>
      <c r="J26" s="149" t="s">
        <v>1803</v>
      </c>
      <c r="K26" s="149" t="s">
        <v>1935</v>
      </c>
    </row>
    <row r="27" spans="1:11" hidden="1" x14ac:dyDescent="0.25">
      <c r="A27" s="149" t="s">
        <v>1955</v>
      </c>
      <c r="B27" s="150">
        <v>3082</v>
      </c>
      <c r="C27" s="149" t="s">
        <v>1798</v>
      </c>
      <c r="D27" s="151">
        <v>158190.87</v>
      </c>
      <c r="E27" s="149" t="s">
        <v>1799</v>
      </c>
      <c r="F27" s="149" t="s">
        <v>1800</v>
      </c>
      <c r="G27" s="149" t="s">
        <v>1801</v>
      </c>
      <c r="H27" s="149"/>
      <c r="I27" s="149" t="s">
        <v>1802</v>
      </c>
      <c r="J27" s="149" t="s">
        <v>1803</v>
      </c>
      <c r="K27" s="149" t="s">
        <v>1957</v>
      </c>
    </row>
    <row r="28" spans="1:11" hidden="1" x14ac:dyDescent="0.25">
      <c r="A28" s="149" t="s">
        <v>1966</v>
      </c>
      <c r="B28" s="150">
        <v>3189</v>
      </c>
      <c r="C28" s="149" t="s">
        <v>1798</v>
      </c>
      <c r="D28" s="151">
        <v>49876.09</v>
      </c>
      <c r="E28" s="149" t="s">
        <v>1799</v>
      </c>
      <c r="F28" s="149" t="s">
        <v>1800</v>
      </c>
      <c r="G28" s="149" t="s">
        <v>1801</v>
      </c>
      <c r="H28" s="149"/>
      <c r="I28" s="149" t="s">
        <v>1802</v>
      </c>
      <c r="J28" s="149" t="s">
        <v>1803</v>
      </c>
      <c r="K28" s="149" t="s">
        <v>1969</v>
      </c>
    </row>
    <row r="29" spans="1:11" hidden="1" x14ac:dyDescent="0.25">
      <c r="A29" s="149" t="s">
        <v>1966</v>
      </c>
      <c r="B29" s="150">
        <v>3197</v>
      </c>
      <c r="C29" s="149" t="s">
        <v>1798</v>
      </c>
      <c r="D29" s="152">
        <v>13.01</v>
      </c>
      <c r="E29" s="149" t="s">
        <v>1799</v>
      </c>
      <c r="F29" s="149" t="s">
        <v>1800</v>
      </c>
      <c r="G29" s="149" t="s">
        <v>1801</v>
      </c>
      <c r="H29" s="149"/>
      <c r="I29" s="149" t="s">
        <v>1802</v>
      </c>
      <c r="J29" s="149" t="s">
        <v>1803</v>
      </c>
      <c r="K29" s="149" t="s">
        <v>2272</v>
      </c>
    </row>
    <row r="30" spans="1:11" hidden="1" x14ac:dyDescent="0.25">
      <c r="A30" s="149" t="s">
        <v>1966</v>
      </c>
      <c r="B30" s="150">
        <v>3198</v>
      </c>
      <c r="C30" s="149" t="s">
        <v>1798</v>
      </c>
      <c r="D30" s="152">
        <v>2</v>
      </c>
      <c r="E30" s="149" t="s">
        <v>1799</v>
      </c>
      <c r="F30" s="149" t="s">
        <v>1800</v>
      </c>
      <c r="G30" s="149" t="s">
        <v>1801</v>
      </c>
      <c r="H30" s="149"/>
      <c r="I30" s="149" t="s">
        <v>1802</v>
      </c>
      <c r="J30" s="149" t="s">
        <v>1803</v>
      </c>
      <c r="K30" s="149" t="s">
        <v>2273</v>
      </c>
    </row>
    <row r="31" spans="1:11" hidden="1" x14ac:dyDescent="0.25">
      <c r="A31" s="149" t="s">
        <v>1966</v>
      </c>
      <c r="B31" s="150">
        <v>3199</v>
      </c>
      <c r="C31" s="149" t="s">
        <v>1798</v>
      </c>
      <c r="D31" s="152">
        <v>268.24</v>
      </c>
      <c r="E31" s="149" t="s">
        <v>1799</v>
      </c>
      <c r="F31" s="149" t="s">
        <v>1800</v>
      </c>
      <c r="G31" s="149" t="s">
        <v>1801</v>
      </c>
      <c r="H31" s="149"/>
      <c r="I31" s="149" t="s">
        <v>1802</v>
      </c>
      <c r="J31" s="149" t="s">
        <v>1803</v>
      </c>
      <c r="K31" s="149" t="s">
        <v>2274</v>
      </c>
    </row>
    <row r="32" spans="1:11" hidden="1" x14ac:dyDescent="0.25">
      <c r="A32" s="149" t="s">
        <v>1970</v>
      </c>
      <c r="B32" s="150">
        <v>3260</v>
      </c>
      <c r="C32" s="149" t="s">
        <v>1798</v>
      </c>
      <c r="D32" s="151">
        <v>1118742.83</v>
      </c>
      <c r="E32" s="149" t="s">
        <v>1799</v>
      </c>
      <c r="F32" s="149" t="s">
        <v>1800</v>
      </c>
      <c r="G32" s="149" t="s">
        <v>1801</v>
      </c>
      <c r="H32" s="149"/>
      <c r="I32" s="149" t="s">
        <v>1802</v>
      </c>
      <c r="J32" s="149" t="s">
        <v>1803</v>
      </c>
      <c r="K32" s="149" t="s">
        <v>1971</v>
      </c>
    </row>
    <row r="33" spans="1:11" hidden="1" x14ac:dyDescent="0.25">
      <c r="A33" s="149" t="s">
        <v>1972</v>
      </c>
      <c r="B33" s="150">
        <v>3333</v>
      </c>
      <c r="C33" s="149" t="s">
        <v>1798</v>
      </c>
      <c r="D33" s="151">
        <v>1000000</v>
      </c>
      <c r="E33" s="149" t="s">
        <v>1799</v>
      </c>
      <c r="F33" s="149" t="s">
        <v>1800</v>
      </c>
      <c r="G33" s="149" t="s">
        <v>1801</v>
      </c>
      <c r="H33" s="149"/>
      <c r="I33" s="149" t="s">
        <v>1802</v>
      </c>
      <c r="J33" s="149" t="s">
        <v>1803</v>
      </c>
      <c r="K33" s="149" t="s">
        <v>1973</v>
      </c>
    </row>
    <row r="34" spans="1:11" hidden="1" x14ac:dyDescent="0.25">
      <c r="A34" s="149" t="s">
        <v>1988</v>
      </c>
      <c r="B34" s="150">
        <v>3559</v>
      </c>
      <c r="C34" s="149" t="s">
        <v>1798</v>
      </c>
      <c r="D34" s="151">
        <v>1022317.77</v>
      </c>
      <c r="E34" s="149" t="s">
        <v>1799</v>
      </c>
      <c r="F34" s="149" t="s">
        <v>1800</v>
      </c>
      <c r="G34" s="149" t="s">
        <v>1801</v>
      </c>
      <c r="H34" s="149"/>
      <c r="I34" s="149" t="s">
        <v>1802</v>
      </c>
      <c r="J34" s="149" t="s">
        <v>1803</v>
      </c>
      <c r="K34" s="149" t="s">
        <v>1990</v>
      </c>
    </row>
    <row r="35" spans="1:11" hidden="1" x14ac:dyDescent="0.25">
      <c r="A35" s="149" t="s">
        <v>1999</v>
      </c>
      <c r="B35" s="150">
        <v>3933</v>
      </c>
      <c r="C35" s="149" t="s">
        <v>1798</v>
      </c>
      <c r="D35" s="151">
        <v>746453.08</v>
      </c>
      <c r="E35" s="149" t="s">
        <v>1799</v>
      </c>
      <c r="F35" s="149" t="s">
        <v>1800</v>
      </c>
      <c r="G35" s="149" t="s">
        <v>1801</v>
      </c>
      <c r="H35" s="149"/>
      <c r="I35" s="149" t="s">
        <v>1802</v>
      </c>
      <c r="J35" s="149" t="s">
        <v>1803</v>
      </c>
      <c r="K35" s="149" t="s">
        <v>2000</v>
      </c>
    </row>
    <row r="36" spans="1:11" hidden="1" x14ac:dyDescent="0.25">
      <c r="A36" s="149" t="s">
        <v>1999</v>
      </c>
      <c r="B36" s="150">
        <v>3934</v>
      </c>
      <c r="C36" s="149" t="s">
        <v>1798</v>
      </c>
      <c r="D36" s="151">
        <v>630173.78</v>
      </c>
      <c r="E36" s="149" t="s">
        <v>1799</v>
      </c>
      <c r="F36" s="149" t="s">
        <v>1800</v>
      </c>
      <c r="G36" s="149" t="s">
        <v>1801</v>
      </c>
      <c r="H36" s="149"/>
      <c r="I36" s="149" t="s">
        <v>1802</v>
      </c>
      <c r="J36" s="149" t="s">
        <v>1803</v>
      </c>
      <c r="K36" s="149" t="s">
        <v>2001</v>
      </c>
    </row>
    <row r="37" spans="1:11" hidden="1" x14ac:dyDescent="0.25">
      <c r="A37" s="149" t="s">
        <v>2007</v>
      </c>
      <c r="B37" s="150">
        <v>14041</v>
      </c>
      <c r="C37" s="149" t="s">
        <v>1798</v>
      </c>
      <c r="D37" s="151">
        <v>374108.64</v>
      </c>
      <c r="E37" s="149" t="s">
        <v>1799</v>
      </c>
      <c r="F37" s="149" t="s">
        <v>1800</v>
      </c>
      <c r="G37" s="149" t="s">
        <v>1801</v>
      </c>
      <c r="H37" s="149"/>
      <c r="I37" s="149" t="s">
        <v>1802</v>
      </c>
      <c r="J37" s="149" t="s">
        <v>1803</v>
      </c>
      <c r="K37" s="149" t="s">
        <v>2008</v>
      </c>
    </row>
    <row r="38" spans="1:11" hidden="1" x14ac:dyDescent="0.25">
      <c r="A38" s="149" t="s">
        <v>2007</v>
      </c>
      <c r="B38" s="150">
        <v>14042</v>
      </c>
      <c r="C38" s="149" t="s">
        <v>1798</v>
      </c>
      <c r="D38" s="151">
        <v>325498.99</v>
      </c>
      <c r="E38" s="149" t="s">
        <v>1799</v>
      </c>
      <c r="F38" s="149" t="s">
        <v>1800</v>
      </c>
      <c r="G38" s="149" t="s">
        <v>1801</v>
      </c>
      <c r="H38" s="149"/>
      <c r="I38" s="149" t="s">
        <v>1802</v>
      </c>
      <c r="J38" s="149" t="s">
        <v>1803</v>
      </c>
      <c r="K38" s="149" t="s">
        <v>2009</v>
      </c>
    </row>
    <row r="39" spans="1:11" hidden="1" x14ac:dyDescent="0.25">
      <c r="A39" s="149" t="s">
        <v>2016</v>
      </c>
      <c r="B39" s="150">
        <v>14090</v>
      </c>
      <c r="C39" s="149" t="s">
        <v>1798</v>
      </c>
      <c r="D39" s="151">
        <v>121325.26</v>
      </c>
      <c r="E39" s="149" t="s">
        <v>1799</v>
      </c>
      <c r="F39" s="149" t="s">
        <v>1800</v>
      </c>
      <c r="G39" s="149" t="s">
        <v>1801</v>
      </c>
      <c r="H39" s="149"/>
      <c r="I39" s="149" t="s">
        <v>1802</v>
      </c>
      <c r="J39" s="149" t="s">
        <v>1803</v>
      </c>
      <c r="K39" s="149" t="s">
        <v>2017</v>
      </c>
    </row>
    <row r="40" spans="1:11" hidden="1" x14ac:dyDescent="0.25">
      <c r="A40" s="149" t="s">
        <v>2027</v>
      </c>
      <c r="B40" s="150">
        <v>14298</v>
      </c>
      <c r="C40" s="149" t="s">
        <v>1798</v>
      </c>
      <c r="D40" s="151">
        <v>2034113.35</v>
      </c>
      <c r="E40" s="149" t="s">
        <v>1799</v>
      </c>
      <c r="F40" s="149" t="s">
        <v>1800</v>
      </c>
      <c r="G40" s="149" t="s">
        <v>1801</v>
      </c>
      <c r="H40" s="149"/>
      <c r="I40" s="149" t="s">
        <v>1802</v>
      </c>
      <c r="J40" s="149" t="s">
        <v>1803</v>
      </c>
      <c r="K40" s="149" t="s">
        <v>2028</v>
      </c>
    </row>
    <row r="41" spans="1:11" hidden="1" x14ac:dyDescent="0.25">
      <c r="A41" s="149" t="s">
        <v>2044</v>
      </c>
      <c r="B41" s="150">
        <v>14557</v>
      </c>
      <c r="C41" s="149" t="s">
        <v>1798</v>
      </c>
      <c r="D41" s="151">
        <v>371980.07</v>
      </c>
      <c r="E41" s="149" t="s">
        <v>1799</v>
      </c>
      <c r="F41" s="149" t="s">
        <v>1800</v>
      </c>
      <c r="G41" s="149" t="s">
        <v>1801</v>
      </c>
      <c r="H41" s="149"/>
      <c r="I41" s="149" t="s">
        <v>1802</v>
      </c>
      <c r="J41" s="149" t="s">
        <v>1803</v>
      </c>
      <c r="K41" s="149" t="s">
        <v>2045</v>
      </c>
    </row>
    <row r="42" spans="1:11" hidden="1" x14ac:dyDescent="0.25">
      <c r="A42" s="149" t="s">
        <v>2058</v>
      </c>
      <c r="B42" s="150">
        <v>14777</v>
      </c>
      <c r="C42" s="149" t="s">
        <v>1798</v>
      </c>
      <c r="D42" s="151">
        <v>137003.82</v>
      </c>
      <c r="E42" s="149" t="s">
        <v>1812</v>
      </c>
      <c r="F42" s="149" t="s">
        <v>1800</v>
      </c>
      <c r="G42" s="149" t="s">
        <v>1801</v>
      </c>
      <c r="H42" s="149"/>
      <c r="I42" s="149" t="s">
        <v>1802</v>
      </c>
      <c r="J42" s="149" t="s">
        <v>1803</v>
      </c>
      <c r="K42" s="149" t="s">
        <v>2063</v>
      </c>
    </row>
    <row r="43" spans="1:11" hidden="1" x14ac:dyDescent="0.25">
      <c r="A43" s="149" t="s">
        <v>2073</v>
      </c>
      <c r="B43" s="150">
        <v>14815</v>
      </c>
      <c r="C43" s="149" t="s">
        <v>1798</v>
      </c>
      <c r="D43" s="151">
        <v>75828.5</v>
      </c>
      <c r="E43" s="149" t="s">
        <v>1799</v>
      </c>
      <c r="F43" s="149" t="s">
        <v>1800</v>
      </c>
      <c r="G43" s="149" t="s">
        <v>1801</v>
      </c>
      <c r="H43" s="149"/>
      <c r="I43" s="149" t="s">
        <v>1802</v>
      </c>
      <c r="J43" s="149" t="s">
        <v>1803</v>
      </c>
      <c r="K43" s="149" t="s">
        <v>2076</v>
      </c>
    </row>
    <row r="44" spans="1:11" hidden="1" x14ac:dyDescent="0.25">
      <c r="A44" s="149" t="s">
        <v>2073</v>
      </c>
      <c r="B44" s="150">
        <v>14816</v>
      </c>
      <c r="C44" s="149" t="s">
        <v>1798</v>
      </c>
      <c r="D44" s="151">
        <v>68378.78</v>
      </c>
      <c r="E44" s="149" t="s">
        <v>1799</v>
      </c>
      <c r="F44" s="149" t="s">
        <v>1800</v>
      </c>
      <c r="G44" s="149" t="s">
        <v>1801</v>
      </c>
      <c r="H44" s="149"/>
      <c r="I44" s="149" t="s">
        <v>1802</v>
      </c>
      <c r="J44" s="149" t="s">
        <v>1803</v>
      </c>
      <c r="K44" s="149" t="s">
        <v>2077</v>
      </c>
    </row>
    <row r="45" spans="1:11" hidden="1" x14ac:dyDescent="0.25">
      <c r="A45" s="149" t="s">
        <v>2073</v>
      </c>
      <c r="B45" s="150">
        <v>14817</v>
      </c>
      <c r="C45" s="149" t="s">
        <v>1798</v>
      </c>
      <c r="D45" s="151">
        <v>200745.59</v>
      </c>
      <c r="E45" s="149" t="s">
        <v>1799</v>
      </c>
      <c r="F45" s="149" t="s">
        <v>1800</v>
      </c>
      <c r="G45" s="149" t="s">
        <v>1801</v>
      </c>
      <c r="H45" s="149"/>
      <c r="I45" s="149" t="s">
        <v>1802</v>
      </c>
      <c r="J45" s="149" t="s">
        <v>1803</v>
      </c>
      <c r="K45" s="149" t="s">
        <v>2078</v>
      </c>
    </row>
    <row r="46" spans="1:11" x14ac:dyDescent="0.25">
      <c r="A46" s="149" t="s">
        <v>2084</v>
      </c>
      <c r="B46" s="150">
        <v>14856</v>
      </c>
      <c r="C46" s="149" t="s">
        <v>1798</v>
      </c>
      <c r="D46" s="151">
        <v>55729.31</v>
      </c>
      <c r="E46" s="149" t="s">
        <v>1799</v>
      </c>
      <c r="F46" s="149" t="s">
        <v>1800</v>
      </c>
      <c r="G46" s="149" t="s">
        <v>1801</v>
      </c>
      <c r="H46" s="149"/>
      <c r="I46" s="149" t="s">
        <v>1802</v>
      </c>
      <c r="J46" s="149" t="s">
        <v>1803</v>
      </c>
      <c r="K46" s="149" t="s">
        <v>2304</v>
      </c>
    </row>
    <row r="47" spans="1:11" hidden="1" x14ac:dyDescent="0.25">
      <c r="A47" s="149" t="s">
        <v>2094</v>
      </c>
      <c r="B47" s="150">
        <v>14948</v>
      </c>
      <c r="C47" s="149" t="s">
        <v>1798</v>
      </c>
      <c r="D47" s="151">
        <v>117899.59</v>
      </c>
      <c r="E47" s="149" t="s">
        <v>1799</v>
      </c>
      <c r="F47" s="149" t="s">
        <v>1800</v>
      </c>
      <c r="G47" s="149" t="s">
        <v>1801</v>
      </c>
      <c r="H47" s="149"/>
      <c r="I47" s="149" t="s">
        <v>1802</v>
      </c>
      <c r="J47" s="149" t="s">
        <v>1803</v>
      </c>
      <c r="K47" s="149" t="s">
        <v>2096</v>
      </c>
    </row>
    <row r="48" spans="1:11" hidden="1" x14ac:dyDescent="0.25">
      <c r="A48" s="149" t="s">
        <v>2098</v>
      </c>
      <c r="B48" s="150">
        <v>14998</v>
      </c>
      <c r="C48" s="149" t="s">
        <v>1798</v>
      </c>
      <c r="D48" s="151">
        <v>101673.99</v>
      </c>
      <c r="E48" s="149" t="s">
        <v>1812</v>
      </c>
      <c r="F48" s="149" t="s">
        <v>1800</v>
      </c>
      <c r="G48" s="149" t="s">
        <v>1801</v>
      </c>
      <c r="H48" s="149"/>
      <c r="I48" s="149" t="s">
        <v>1802</v>
      </c>
      <c r="J48" s="149" t="s">
        <v>1803</v>
      </c>
      <c r="K48" s="149" t="s">
        <v>2099</v>
      </c>
    </row>
    <row r="49" spans="1:11" x14ac:dyDescent="0.25">
      <c r="A49" s="149" t="s">
        <v>2103</v>
      </c>
      <c r="B49" s="150">
        <v>15079</v>
      </c>
      <c r="C49" s="149" t="s">
        <v>1798</v>
      </c>
      <c r="D49" s="151">
        <v>54398.66</v>
      </c>
      <c r="E49" s="149" t="s">
        <v>1799</v>
      </c>
      <c r="F49" s="149" t="s">
        <v>1800</v>
      </c>
      <c r="G49" s="149" t="s">
        <v>1801</v>
      </c>
      <c r="H49" s="149"/>
      <c r="I49" s="149" t="s">
        <v>1802</v>
      </c>
      <c r="J49" s="149" t="s">
        <v>1803</v>
      </c>
      <c r="K49" s="149" t="s">
        <v>2305</v>
      </c>
    </row>
    <row r="50" spans="1:11" hidden="1" x14ac:dyDescent="0.25">
      <c r="A50" s="149" t="s">
        <v>2103</v>
      </c>
      <c r="B50" s="150">
        <v>15084</v>
      </c>
      <c r="C50" s="149" t="s">
        <v>1798</v>
      </c>
      <c r="D50" s="151">
        <v>105542.43</v>
      </c>
      <c r="E50" s="149" t="s">
        <v>1812</v>
      </c>
      <c r="F50" s="149" t="s">
        <v>1800</v>
      </c>
      <c r="G50" s="149" t="s">
        <v>1801</v>
      </c>
      <c r="H50" s="149"/>
      <c r="I50" s="149" t="s">
        <v>1802</v>
      </c>
      <c r="J50" s="149" t="s">
        <v>1803</v>
      </c>
      <c r="K50" s="149" t="s">
        <v>2105</v>
      </c>
    </row>
    <row r="51" spans="1:11" hidden="1" x14ac:dyDescent="0.25">
      <c r="A51" s="149" t="s">
        <v>2116</v>
      </c>
      <c r="B51" s="150">
        <v>15181</v>
      </c>
      <c r="C51" s="149" t="s">
        <v>1798</v>
      </c>
      <c r="D51" s="151">
        <v>303256.62</v>
      </c>
      <c r="E51" s="149" t="s">
        <v>1799</v>
      </c>
      <c r="F51" s="149" t="s">
        <v>1800</v>
      </c>
      <c r="G51" s="149" t="s">
        <v>1801</v>
      </c>
      <c r="H51" s="149"/>
      <c r="I51" s="149" t="s">
        <v>1802</v>
      </c>
      <c r="J51" s="149" t="s">
        <v>1803</v>
      </c>
      <c r="K51" s="149" t="s">
        <v>2118</v>
      </c>
    </row>
    <row r="52" spans="1:11" x14ac:dyDescent="0.25">
      <c r="A52" s="149" t="s">
        <v>2116</v>
      </c>
      <c r="B52" s="150">
        <v>15255</v>
      </c>
      <c r="C52" s="149" t="s">
        <v>1798</v>
      </c>
      <c r="D52" s="151">
        <v>61824.92</v>
      </c>
      <c r="E52" s="149" t="s">
        <v>1799</v>
      </c>
      <c r="F52" s="149" t="s">
        <v>1800</v>
      </c>
      <c r="G52" s="149" t="s">
        <v>1801</v>
      </c>
      <c r="H52" s="149"/>
      <c r="I52" s="149" t="s">
        <v>1802</v>
      </c>
      <c r="J52" s="149" t="s">
        <v>1803</v>
      </c>
      <c r="K52" s="149" t="s">
        <v>2307</v>
      </c>
    </row>
    <row r="53" spans="1:11" hidden="1" x14ac:dyDescent="0.25">
      <c r="A53" s="149" t="s">
        <v>2116</v>
      </c>
      <c r="B53" s="150">
        <v>15257</v>
      </c>
      <c r="C53" s="149" t="s">
        <v>1798</v>
      </c>
      <c r="D53" s="151">
        <v>113477.5</v>
      </c>
      <c r="E53" s="149" t="s">
        <v>1799</v>
      </c>
      <c r="F53" s="149" t="s">
        <v>1800</v>
      </c>
      <c r="G53" s="149" t="s">
        <v>1801</v>
      </c>
      <c r="H53" s="149"/>
      <c r="I53" s="149" t="s">
        <v>1802</v>
      </c>
      <c r="J53" s="149" t="s">
        <v>1803</v>
      </c>
      <c r="K53" s="149" t="s">
        <v>2124</v>
      </c>
    </row>
    <row r="54" spans="1:11" hidden="1" x14ac:dyDescent="0.25">
      <c r="A54" s="149" t="s">
        <v>2127</v>
      </c>
      <c r="B54" s="150">
        <v>15352</v>
      </c>
      <c r="C54" s="149" t="s">
        <v>1798</v>
      </c>
      <c r="D54" s="151">
        <v>314653.59999999998</v>
      </c>
      <c r="E54" s="149" t="s">
        <v>1799</v>
      </c>
      <c r="F54" s="149" t="s">
        <v>1800</v>
      </c>
      <c r="G54" s="149" t="s">
        <v>1801</v>
      </c>
      <c r="H54" s="149"/>
      <c r="I54" s="149" t="s">
        <v>1802</v>
      </c>
      <c r="J54" s="149" t="s">
        <v>1803</v>
      </c>
      <c r="K54" s="149" t="s">
        <v>2128</v>
      </c>
    </row>
    <row r="55" spans="1:11" x14ac:dyDescent="0.25">
      <c r="A55" s="149" t="s">
        <v>2136</v>
      </c>
      <c r="B55" s="150">
        <v>15414</v>
      </c>
      <c r="C55" s="149" t="s">
        <v>1798</v>
      </c>
      <c r="D55" s="151">
        <v>167302.32</v>
      </c>
      <c r="E55" s="149" t="s">
        <v>1799</v>
      </c>
      <c r="F55" s="149" t="s">
        <v>1800</v>
      </c>
      <c r="G55" s="149" t="s">
        <v>1801</v>
      </c>
      <c r="H55" s="149"/>
      <c r="I55" s="149" t="s">
        <v>1802</v>
      </c>
      <c r="J55" s="149" t="s">
        <v>1803</v>
      </c>
      <c r="K55" s="149" t="s">
        <v>2137</v>
      </c>
    </row>
    <row r="56" spans="1:11" hidden="1" x14ac:dyDescent="0.25">
      <c r="A56" s="149" t="s">
        <v>2145</v>
      </c>
      <c r="B56" s="150">
        <v>15510</v>
      </c>
      <c r="C56" s="149" t="s">
        <v>1798</v>
      </c>
      <c r="D56" s="151">
        <v>153767.6</v>
      </c>
      <c r="E56" s="149" t="s">
        <v>1812</v>
      </c>
      <c r="F56" s="149" t="s">
        <v>1800</v>
      </c>
      <c r="G56" s="149" t="s">
        <v>1801</v>
      </c>
      <c r="H56" s="149"/>
      <c r="I56" s="149" t="s">
        <v>1802</v>
      </c>
      <c r="J56" s="149" t="s">
        <v>1803</v>
      </c>
      <c r="K56" s="149" t="s">
        <v>2149</v>
      </c>
    </row>
    <row r="57" spans="1:11" hidden="1" x14ac:dyDescent="0.25">
      <c r="A57" s="149" t="s">
        <v>2150</v>
      </c>
      <c r="B57" s="150">
        <v>15620</v>
      </c>
      <c r="C57" s="149" t="s">
        <v>1798</v>
      </c>
      <c r="D57" s="151">
        <v>139364.10999999999</v>
      </c>
      <c r="E57" s="149" t="s">
        <v>1812</v>
      </c>
      <c r="F57" s="149" t="s">
        <v>1800</v>
      </c>
      <c r="G57" s="149" t="s">
        <v>1801</v>
      </c>
      <c r="H57" s="149"/>
      <c r="I57" s="149" t="s">
        <v>1802</v>
      </c>
      <c r="J57" s="149" t="s">
        <v>1803</v>
      </c>
      <c r="K57" s="149" t="s">
        <v>2151</v>
      </c>
    </row>
    <row r="58" spans="1:11" hidden="1" x14ac:dyDescent="0.25">
      <c r="A58" s="149" t="s">
        <v>2150</v>
      </c>
      <c r="B58" s="150">
        <v>15621</v>
      </c>
      <c r="C58" s="149" t="s">
        <v>1798</v>
      </c>
      <c r="D58" s="151">
        <v>421692.25</v>
      </c>
      <c r="E58" s="149" t="s">
        <v>1812</v>
      </c>
      <c r="F58" s="149" t="s">
        <v>1800</v>
      </c>
      <c r="G58" s="149" t="s">
        <v>1801</v>
      </c>
      <c r="H58" s="149"/>
      <c r="I58" s="149" t="s">
        <v>1802</v>
      </c>
      <c r="J58" s="149" t="s">
        <v>1803</v>
      </c>
      <c r="K58" s="149" t="s">
        <v>2152</v>
      </c>
    </row>
    <row r="59" spans="1:11" x14ac:dyDescent="0.25">
      <c r="A59" s="149" t="s">
        <v>2309</v>
      </c>
      <c r="B59" s="150">
        <v>15974</v>
      </c>
      <c r="C59" s="149" t="s">
        <v>1798</v>
      </c>
      <c r="D59" s="151">
        <v>76034.22</v>
      </c>
      <c r="E59" s="149" t="s">
        <v>1799</v>
      </c>
      <c r="F59" s="149" t="s">
        <v>1800</v>
      </c>
      <c r="G59" s="149" t="s">
        <v>1801</v>
      </c>
      <c r="H59" s="149"/>
      <c r="I59" s="149" t="s">
        <v>1802</v>
      </c>
      <c r="J59" s="149" t="s">
        <v>1803</v>
      </c>
      <c r="K59" s="149" t="s">
        <v>2310</v>
      </c>
    </row>
    <row r="60" spans="1:11" hidden="1" x14ac:dyDescent="0.25">
      <c r="A60" s="149" t="s">
        <v>2178</v>
      </c>
      <c r="B60" s="150">
        <v>16366</v>
      </c>
      <c r="C60" s="149" t="s">
        <v>1798</v>
      </c>
      <c r="D60" s="151">
        <v>1211298.46</v>
      </c>
      <c r="E60" s="149" t="s">
        <v>1799</v>
      </c>
      <c r="F60" s="149" t="s">
        <v>1800</v>
      </c>
      <c r="G60" s="149" t="s">
        <v>1801</v>
      </c>
      <c r="H60" s="149"/>
      <c r="I60" s="149" t="s">
        <v>1802</v>
      </c>
      <c r="J60" s="149" t="s">
        <v>1803</v>
      </c>
      <c r="K60" s="149" t="s">
        <v>2179</v>
      </c>
    </row>
    <row r="63" spans="1:11" x14ac:dyDescent="0.25">
      <c r="F63" s="151">
        <v>75318.58</v>
      </c>
      <c r="G63" s="151">
        <v>677173.34</v>
      </c>
      <c r="I63" s="151">
        <v>1485921.5</v>
      </c>
      <c r="J63" s="151">
        <v>120404.08</v>
      </c>
    </row>
    <row r="64" spans="1:11" x14ac:dyDescent="0.25">
      <c r="F64" s="151">
        <v>78412.22</v>
      </c>
      <c r="G64" s="151">
        <v>710010.09</v>
      </c>
      <c r="I64" s="151">
        <v>1503569.33</v>
      </c>
      <c r="J64" s="151">
        <v>125263.63</v>
      </c>
    </row>
    <row r="65" spans="6:10" x14ac:dyDescent="0.25">
      <c r="F65" s="151">
        <v>77125.64</v>
      </c>
      <c r="G65" s="151">
        <v>702806.01</v>
      </c>
      <c r="I65" s="151">
        <v>1982893.39</v>
      </c>
      <c r="J65" s="151">
        <v>161426.59</v>
      </c>
    </row>
    <row r="66" spans="6:10" x14ac:dyDescent="0.25">
      <c r="F66" s="151">
        <v>72725.31</v>
      </c>
      <c r="G66" s="151">
        <v>654693.96</v>
      </c>
      <c r="I66" s="151">
        <v>2152127.7200000002</v>
      </c>
      <c r="J66" s="151">
        <v>172815.33</v>
      </c>
    </row>
    <row r="67" spans="6:10" x14ac:dyDescent="0.25">
      <c r="F67" s="151">
        <v>79805.990000000005</v>
      </c>
      <c r="G67" s="151">
        <v>729392.4</v>
      </c>
      <c r="I67" s="152">
        <v>35.03</v>
      </c>
      <c r="J67" s="151">
        <v>158190.87</v>
      </c>
    </row>
    <row r="68" spans="6:10" x14ac:dyDescent="0.25">
      <c r="F68" s="151">
        <v>76313.759999999995</v>
      </c>
      <c r="G68" s="151">
        <v>675915.9</v>
      </c>
      <c r="I68" s="151">
        <v>1985767.17</v>
      </c>
      <c r="J68" s="151">
        <v>49876.09</v>
      </c>
    </row>
    <row r="69" spans="6:10" x14ac:dyDescent="0.25">
      <c r="F69" s="151">
        <v>78857.55</v>
      </c>
      <c r="G69" s="151">
        <v>551564.6</v>
      </c>
      <c r="I69" s="151">
        <v>711315.05</v>
      </c>
      <c r="J69" s="151">
        <v>10213.48</v>
      </c>
    </row>
    <row r="70" spans="6:10" x14ac:dyDescent="0.25">
      <c r="F70" s="151">
        <v>34142.18</v>
      </c>
      <c r="G70" s="151">
        <v>318517.90000000002</v>
      </c>
      <c r="I70" s="151">
        <v>115000.51</v>
      </c>
      <c r="J70" s="151">
        <v>92164.85</v>
      </c>
    </row>
    <row r="71" spans="6:10" x14ac:dyDescent="0.25">
      <c r="F71" s="151">
        <v>54398.66</v>
      </c>
      <c r="G71" s="151">
        <v>437066.15</v>
      </c>
      <c r="I71" s="151">
        <v>1127580.18</v>
      </c>
      <c r="J71" s="151">
        <v>129627.55</v>
      </c>
    </row>
    <row r="72" spans="6:10" x14ac:dyDescent="0.25">
      <c r="F72" s="151">
        <v>55729.31</v>
      </c>
      <c r="G72" s="151">
        <v>463961.48</v>
      </c>
      <c r="I72" s="151">
        <v>1627439.64</v>
      </c>
    </row>
    <row r="73" spans="6:10" x14ac:dyDescent="0.25">
      <c r="F73" s="151">
        <v>61824.92</v>
      </c>
      <c r="G73" s="151">
        <v>537080.81999999995</v>
      </c>
    </row>
    <row r="74" spans="6:10" x14ac:dyDescent="0.25">
      <c r="F74" s="151">
        <v>76034.22</v>
      </c>
      <c r="G74" s="151">
        <v>688492.21</v>
      </c>
    </row>
    <row r="75" spans="6:10" x14ac:dyDescent="0.25">
      <c r="F75" s="151">
        <v>78003.97</v>
      </c>
      <c r="G75" s="153">
        <v>730337.33</v>
      </c>
    </row>
  </sheetData>
  <autoFilter ref="A1:O60" xr:uid="{00000000-0009-0000-0000-000006000000}">
    <filterColumn colId="10">
      <filters>
        <filter val="ГВС за август 18, договор №09-С/П-15 от 01.09.15, счет №747 от 31.08.18  Объект: Красногорский б-р, д. 3. В т.ч. НДС (18%) 8501,08"/>
        <filter val="ГВС за декабрь 17, договор №09-С/П-15 от 01.09.15, счет №780 от 31.12.17  Объект: Красногорский б-р, д. 3. В т.ч. НДС (18%) 11961,19"/>
        <filter val="ГВС за июль 18, договор №09-С/П-15 от 01.09.15, счет №657 от 31.07.18  Объект: Красногорский б-р, д. 3. В т.ч. НДС (18%) 8298,1"/>
        <filter val="ГВС за март 18, договор №09-С/П-15 от 01.09.15, счет №225 от 31.03.18  Объект: Красногорский б-р, д. 3. В т.ч. НДС (18%) 12173,8"/>
        <filter val="ГВС за ноябрь 17, договор №09-С/П-15 от 01.09.15, счет №700 от 30.11.17  Объект: Красногорский б-р, д. 3. В т.ч. НДС (18%) 11489,27"/>
        <filter val="ГВС за октябрь 18, договор №09-С/П-15 от 01.09.15, счет №951 от 31.10.18  Объект: Красногорский б-р, д. 3. В т.ч. НДС (18%) 11598,44"/>
        <filter val="ГВС за сентябрь18, договор №09-С/П-15 от 01.09.15, счет №831 от 30.09.18  Объект: Красногорский б-р, д. 3. В т.ч. НДС (18%) 9430,92"/>
        <filter val="ГВС за февраль 18, договор №09-С/П-15 от 01.09.15, счет №120 от 28.02.18  Объект: Красногорский б-р, д. 3. В т.ч. НДС (18%) 11093,69"/>
        <filter val="ГВС за январь 18, договор №09-С/П-15 от 01.09.15, счет №5 от 31.01.18  Объект: Красногорский б-р, д. 3. В т.ч. НДС (18%) 11764,93"/>
        <filter val="Отопление за ноябрь 17, договор №09-С/П-15 от 01.09.15, счет №700 от 30.11.17  Объект: Красногорский б-р, д. 3. В т.ч. НДС (18%) 18366,72"/>
        <filter val="Отопление за февраль 18, договор №09-С/П-15 от 01.09.15, счет №120 от 28.02.18  Объект: Красногорский б-р, д. 3. В т.ч. НДС (18%) 26361,66"/>
        <filter val="Отопление и затраты к возмещ.по заполн.сет.водой за сентябрь 18, договор №09-С/П-15 от 01.09.15, счет №831 от 30.09.18  Объект: Красногорский б-р, д. 3. В т.ч. НДС (18%) 25520,69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11:J25"/>
  <sheetViews>
    <sheetView workbookViewId="0">
      <selection activeCell="J24" sqref="J24:J25"/>
    </sheetView>
  </sheetViews>
  <sheetFormatPr defaultRowHeight="15.75" x14ac:dyDescent="0.25"/>
  <cols>
    <col min="6" max="6" width="29.25" customWidth="1"/>
  </cols>
  <sheetData>
    <row r="11" spans="6:10" x14ac:dyDescent="0.25">
      <c r="F11" s="85"/>
      <c r="G11" s="86"/>
      <c r="H11" s="86"/>
      <c r="I11" s="86"/>
      <c r="J11" s="87"/>
    </row>
    <row r="12" spans="6:10" x14ac:dyDescent="0.25">
      <c r="F12" s="85" t="s">
        <v>329</v>
      </c>
      <c r="G12" s="86"/>
      <c r="H12" s="86"/>
      <c r="I12" s="86"/>
      <c r="J12" s="87" t="s">
        <v>393</v>
      </c>
    </row>
    <row r="13" spans="6:10" x14ac:dyDescent="0.25">
      <c r="F13" s="85" t="s">
        <v>339</v>
      </c>
      <c r="G13" s="86"/>
      <c r="H13" s="86"/>
      <c r="I13" s="86"/>
      <c r="J13" s="87" t="s">
        <v>394</v>
      </c>
    </row>
    <row r="14" spans="6:10" x14ac:dyDescent="0.25">
      <c r="F14" s="85" t="s">
        <v>340</v>
      </c>
      <c r="G14" s="86"/>
      <c r="H14" s="86"/>
      <c r="I14" s="86"/>
      <c r="J14" s="87" t="s">
        <v>395</v>
      </c>
    </row>
    <row r="15" spans="6:10" x14ac:dyDescent="0.25">
      <c r="F15" s="85" t="s">
        <v>341</v>
      </c>
      <c r="G15" s="86"/>
      <c r="H15" s="86"/>
      <c r="I15" s="86"/>
      <c r="J15" s="87" t="s">
        <v>396</v>
      </c>
    </row>
    <row r="16" spans="6:10" x14ac:dyDescent="0.25">
      <c r="F16" s="85" t="s">
        <v>342</v>
      </c>
      <c r="G16" s="86"/>
      <c r="H16" s="86"/>
      <c r="I16" s="86"/>
      <c r="J16" s="87" t="s">
        <v>397</v>
      </c>
    </row>
    <row r="17" spans="6:10" x14ac:dyDescent="0.25">
      <c r="F17" s="85" t="s">
        <v>343</v>
      </c>
      <c r="G17" s="86"/>
      <c r="H17" s="86"/>
      <c r="I17" s="86"/>
      <c r="J17" s="87" t="s">
        <v>398</v>
      </c>
    </row>
    <row r="18" spans="6:10" x14ac:dyDescent="0.25">
      <c r="F18" s="85" t="s">
        <v>344</v>
      </c>
      <c r="G18" s="86"/>
      <c r="H18" s="86"/>
      <c r="I18" s="86"/>
      <c r="J18" s="87" t="s">
        <v>399</v>
      </c>
    </row>
    <row r="19" spans="6:10" x14ac:dyDescent="0.25">
      <c r="F19" s="85" t="s">
        <v>345</v>
      </c>
      <c r="G19" s="86"/>
      <c r="H19" s="86"/>
      <c r="I19" s="86"/>
      <c r="J19" s="87" t="s">
        <v>400</v>
      </c>
    </row>
    <row r="20" spans="6:10" x14ac:dyDescent="0.25">
      <c r="F20" s="85" t="s">
        <v>346</v>
      </c>
      <c r="G20" s="86"/>
      <c r="H20" s="86"/>
      <c r="I20" s="86"/>
      <c r="J20" s="87" t="s">
        <v>401</v>
      </c>
    </row>
    <row r="21" spans="6:10" x14ac:dyDescent="0.25">
      <c r="F21" s="85" t="s">
        <v>347</v>
      </c>
      <c r="G21" s="86"/>
      <c r="H21" s="86"/>
      <c r="I21" s="86"/>
      <c r="J21" s="88" t="s">
        <v>402</v>
      </c>
    </row>
    <row r="22" spans="6:10" x14ac:dyDescent="0.25">
      <c r="F22" s="85" t="s">
        <v>348</v>
      </c>
      <c r="G22" s="86"/>
      <c r="H22" s="86"/>
      <c r="I22" s="86"/>
      <c r="J22" s="88">
        <v>626.4</v>
      </c>
    </row>
    <row r="23" spans="6:10" x14ac:dyDescent="0.25">
      <c r="F23" s="85" t="s">
        <v>349</v>
      </c>
      <c r="G23" s="86"/>
      <c r="H23" s="86"/>
      <c r="I23" s="86"/>
      <c r="J23" s="87">
        <v>775.96</v>
      </c>
    </row>
    <row r="24" spans="6:10" x14ac:dyDescent="0.25">
      <c r="F24" s="85" t="s">
        <v>350</v>
      </c>
      <c r="G24" s="86"/>
      <c r="H24" s="86"/>
      <c r="I24" s="86"/>
      <c r="J24" s="87" t="s">
        <v>403</v>
      </c>
    </row>
    <row r="25" spans="6:10" x14ac:dyDescent="0.25">
      <c r="F25" s="85" t="s">
        <v>392</v>
      </c>
      <c r="G25" s="86"/>
      <c r="H25" s="86"/>
      <c r="I25" s="86"/>
      <c r="J25" s="87" t="s">
        <v>404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5"/>
  <sheetViews>
    <sheetView zoomScale="85" zoomScaleNormal="85" workbookViewId="0">
      <pane xSplit="3" ySplit="7" topLeftCell="S221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ColWidth="9" defaultRowHeight="15.75" outlineLevelCol="1" x14ac:dyDescent="0.25"/>
  <cols>
    <col min="1" max="1" width="10.125" style="99" customWidth="1"/>
    <col min="2" max="2" width="34.25" style="109" customWidth="1"/>
    <col min="3" max="3" width="8" style="110" customWidth="1"/>
    <col min="4" max="4" width="27" style="111" customWidth="1" outlineLevel="1" collapsed="1"/>
    <col min="5" max="10" width="27" style="111" customWidth="1" outlineLevel="1"/>
    <col min="11" max="11" width="26.875" style="111" customWidth="1" outlineLevel="1"/>
    <col min="12" max="12" width="29.25" style="111" customWidth="1" outlineLevel="1"/>
    <col min="13" max="15" width="27" style="111" customWidth="1" outlineLevel="1"/>
    <col min="16" max="16" width="28.875" style="111" customWidth="1" outlineLevel="1"/>
    <col min="17" max="20" width="27" style="111" customWidth="1" outlineLevel="1"/>
    <col min="21" max="21" width="27" style="126" hidden="1" customWidth="1" outlineLevel="1"/>
    <col min="22" max="23" width="27" style="111" customWidth="1" outlineLevel="1"/>
    <col min="24" max="26" width="27" style="111" customWidth="1"/>
    <col min="27" max="28" width="15.875" style="98" hidden="1" customWidth="1"/>
    <col min="29" max="29" width="19.625" style="99" customWidth="1"/>
    <col min="30" max="30" width="16" style="99" customWidth="1"/>
    <col min="31" max="16384" width="9" style="99"/>
  </cols>
  <sheetData>
    <row r="1" spans="1:30" ht="44.25" customHeight="1" x14ac:dyDescent="0.25">
      <c r="A1" s="226" t="s">
        <v>407</v>
      </c>
      <c r="B1" s="226"/>
      <c r="C1" s="22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12"/>
      <c r="V1" s="21"/>
      <c r="W1" s="21"/>
      <c r="X1" s="21"/>
      <c r="Y1" s="21"/>
      <c r="Z1" s="21"/>
    </row>
    <row r="2" spans="1:30" ht="44.25" customHeight="1" x14ac:dyDescent="0.25">
      <c r="A2" s="227" t="s">
        <v>292</v>
      </c>
      <c r="B2" s="227"/>
      <c r="C2" s="227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13"/>
      <c r="V2" s="22"/>
      <c r="W2" s="22"/>
      <c r="X2" s="22"/>
      <c r="Y2" s="22"/>
      <c r="Z2" s="22"/>
    </row>
    <row r="3" spans="1:30" ht="79.5" customHeight="1" x14ac:dyDescent="0.25">
      <c r="A3" s="216" t="s">
        <v>0</v>
      </c>
      <c r="B3" s="217"/>
      <c r="C3" s="218"/>
      <c r="D3" s="8" t="s">
        <v>408</v>
      </c>
      <c r="E3" s="8" t="s">
        <v>409</v>
      </c>
      <c r="F3" s="8" t="s">
        <v>410</v>
      </c>
      <c r="G3" s="8" t="s">
        <v>411</v>
      </c>
      <c r="H3" s="8" t="s">
        <v>412</v>
      </c>
      <c r="I3" s="8" t="s">
        <v>413</v>
      </c>
      <c r="J3" s="8" t="s">
        <v>414</v>
      </c>
      <c r="K3" s="8" t="s">
        <v>415</v>
      </c>
      <c r="L3" s="8" t="s">
        <v>416</v>
      </c>
      <c r="M3" s="8" t="s">
        <v>417</v>
      </c>
      <c r="N3" s="8" t="s">
        <v>418</v>
      </c>
      <c r="O3" s="8" t="s">
        <v>419</v>
      </c>
      <c r="P3" s="8" t="s">
        <v>420</v>
      </c>
      <c r="Q3" s="8" t="s">
        <v>421</v>
      </c>
      <c r="R3" s="8" t="s">
        <v>422</v>
      </c>
      <c r="S3" s="8" t="s">
        <v>423</v>
      </c>
      <c r="T3" s="8" t="s">
        <v>424</v>
      </c>
      <c r="U3" s="114" t="s">
        <v>425</v>
      </c>
      <c r="V3" s="8" t="s">
        <v>426</v>
      </c>
      <c r="W3" s="8" t="s">
        <v>427</v>
      </c>
      <c r="X3" s="8" t="s">
        <v>428</v>
      </c>
      <c r="Y3" s="8" t="s">
        <v>429</v>
      </c>
      <c r="Z3" s="8" t="s">
        <v>430</v>
      </c>
    </row>
    <row r="4" spans="1:30" ht="21" x14ac:dyDescent="0.25">
      <c r="A4" s="6" t="s">
        <v>1</v>
      </c>
      <c r="B4" s="19" t="s">
        <v>129</v>
      </c>
      <c r="C4" s="7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5"/>
      <c r="V4" s="13"/>
      <c r="W4" s="13"/>
      <c r="X4" s="13"/>
      <c r="Y4" s="13"/>
      <c r="Z4" s="13"/>
    </row>
    <row r="5" spans="1:30" x14ac:dyDescent="0.25">
      <c r="A5" s="9" t="s">
        <v>3</v>
      </c>
      <c r="B5" s="15" t="s">
        <v>35</v>
      </c>
      <c r="C5" s="1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</row>
    <row r="6" spans="1:30" x14ac:dyDescent="0.25">
      <c r="A6" s="9" t="s">
        <v>5</v>
      </c>
      <c r="B6" s="15" t="s">
        <v>36</v>
      </c>
      <c r="C6" s="15" t="s">
        <v>4</v>
      </c>
      <c r="D6" s="25">
        <v>42937</v>
      </c>
      <c r="E6" s="25">
        <v>42736</v>
      </c>
      <c r="F6" s="25">
        <v>42736</v>
      </c>
      <c r="G6" s="25">
        <v>42736</v>
      </c>
      <c r="H6" s="25">
        <v>42736</v>
      </c>
      <c r="I6" s="25">
        <v>42736</v>
      </c>
      <c r="J6" s="25">
        <v>42899</v>
      </c>
      <c r="K6" s="25">
        <v>42736</v>
      </c>
      <c r="L6" s="25">
        <v>42736</v>
      </c>
      <c r="M6" s="25">
        <v>42937</v>
      </c>
      <c r="N6" s="25">
        <v>42736</v>
      </c>
      <c r="O6" s="25">
        <v>42736</v>
      </c>
      <c r="P6" s="25">
        <v>42736</v>
      </c>
      <c r="Q6" s="25">
        <v>42736</v>
      </c>
      <c r="R6" s="25">
        <v>42736</v>
      </c>
      <c r="S6" s="25">
        <v>42736</v>
      </c>
      <c r="T6" s="25">
        <v>42736</v>
      </c>
      <c r="U6" s="116">
        <v>43070</v>
      </c>
      <c r="V6" s="25">
        <v>42736</v>
      </c>
      <c r="W6" s="25">
        <v>42935</v>
      </c>
      <c r="X6" s="25">
        <v>42736</v>
      </c>
      <c r="Y6" s="25">
        <v>42736</v>
      </c>
      <c r="Z6" s="25">
        <v>42935</v>
      </c>
    </row>
    <row r="7" spans="1:30" x14ac:dyDescent="0.25">
      <c r="A7" s="9" t="s">
        <v>6</v>
      </c>
      <c r="B7" s="15" t="s">
        <v>37</v>
      </c>
      <c r="C7" s="15" t="s">
        <v>4</v>
      </c>
      <c r="D7" s="25">
        <v>43100</v>
      </c>
      <c r="E7" s="25">
        <v>43100</v>
      </c>
      <c r="F7" s="25">
        <v>43100</v>
      </c>
      <c r="G7" s="25">
        <v>43100</v>
      </c>
      <c r="H7" s="25">
        <v>43100</v>
      </c>
      <c r="I7" s="25">
        <v>43100</v>
      </c>
      <c r="J7" s="25">
        <v>43100</v>
      </c>
      <c r="K7" s="25">
        <v>43100</v>
      </c>
      <c r="L7" s="25">
        <v>43100</v>
      </c>
      <c r="M7" s="25">
        <v>43100</v>
      </c>
      <c r="N7" s="25">
        <v>43100</v>
      </c>
      <c r="O7" s="25">
        <v>43100</v>
      </c>
      <c r="P7" s="25">
        <v>43100</v>
      </c>
      <c r="Q7" s="25">
        <v>43100</v>
      </c>
      <c r="R7" s="25">
        <v>43100</v>
      </c>
      <c r="S7" s="25">
        <v>43100</v>
      </c>
      <c r="T7" s="25">
        <v>43100</v>
      </c>
      <c r="U7" s="116">
        <v>43100</v>
      </c>
      <c r="V7" s="25">
        <v>43100</v>
      </c>
      <c r="W7" s="25">
        <v>43100</v>
      </c>
      <c r="X7" s="25">
        <v>43100</v>
      </c>
      <c r="Y7" s="25">
        <v>43100</v>
      </c>
      <c r="Z7" s="25">
        <v>43100</v>
      </c>
    </row>
    <row r="8" spans="1:30" s="3" customFormat="1" ht="53.25" customHeight="1" x14ac:dyDescent="0.25">
      <c r="A8" s="213" t="s">
        <v>41</v>
      </c>
      <c r="B8" s="213"/>
      <c r="C8" s="2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17"/>
      <c r="V8" s="17"/>
      <c r="W8" s="17"/>
      <c r="X8" s="17"/>
      <c r="Y8" s="17"/>
      <c r="Z8" s="17"/>
      <c r="AA8" s="78"/>
      <c r="AB8" s="78"/>
    </row>
    <row r="9" spans="1:30" ht="25.5" x14ac:dyDescent="0.25">
      <c r="A9" s="9" t="s">
        <v>7</v>
      </c>
      <c r="B9" s="15" t="s">
        <v>42</v>
      </c>
      <c r="C9" s="15" t="s">
        <v>38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118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</row>
    <row r="10" spans="1:30" ht="25.5" x14ac:dyDescent="0.25">
      <c r="A10" s="9" t="s">
        <v>8</v>
      </c>
      <c r="B10" s="15" t="s">
        <v>43</v>
      </c>
      <c r="C10" s="15" t="s">
        <v>38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118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</row>
    <row r="11" spans="1:30" ht="25.5" x14ac:dyDescent="0.25">
      <c r="A11" s="9" t="s">
        <v>9</v>
      </c>
      <c r="B11" s="15" t="s">
        <v>44</v>
      </c>
      <c r="C11" s="15" t="s">
        <v>38</v>
      </c>
      <c r="D11" s="94" t="s">
        <v>431</v>
      </c>
      <c r="E11" s="94" t="s">
        <v>432</v>
      </c>
      <c r="F11" s="94" t="s">
        <v>433</v>
      </c>
      <c r="G11" s="94" t="s">
        <v>434</v>
      </c>
      <c r="H11" s="94" t="s">
        <v>435</v>
      </c>
      <c r="I11" s="94" t="s">
        <v>436</v>
      </c>
      <c r="J11" s="94">
        <v>0</v>
      </c>
      <c r="K11" s="94">
        <v>0</v>
      </c>
      <c r="L11" s="94" t="s">
        <v>437</v>
      </c>
      <c r="M11" s="94">
        <v>0</v>
      </c>
      <c r="N11" s="94" t="s">
        <v>438</v>
      </c>
      <c r="O11" s="94" t="s">
        <v>439</v>
      </c>
      <c r="P11" s="94" t="s">
        <v>440</v>
      </c>
      <c r="Q11" s="94" t="s">
        <v>441</v>
      </c>
      <c r="R11" s="94" t="s">
        <v>442</v>
      </c>
      <c r="S11" s="94" t="s">
        <v>443</v>
      </c>
      <c r="T11" s="94" t="s">
        <v>444</v>
      </c>
      <c r="U11" s="118">
        <v>0</v>
      </c>
      <c r="V11" s="94" t="s">
        <v>445</v>
      </c>
      <c r="W11" s="94">
        <v>0</v>
      </c>
      <c r="X11" s="94" t="s">
        <v>446</v>
      </c>
      <c r="Y11" s="94" t="s">
        <v>447</v>
      </c>
      <c r="Z11" s="94">
        <v>0</v>
      </c>
    </row>
    <row r="12" spans="1:30" ht="32.25" customHeight="1" x14ac:dyDescent="0.25">
      <c r="A12" s="9" t="s">
        <v>10</v>
      </c>
      <c r="B12" s="15" t="s">
        <v>448</v>
      </c>
      <c r="C12" s="15" t="s">
        <v>38</v>
      </c>
      <c r="D12" s="94" t="s">
        <v>449</v>
      </c>
      <c r="E12" s="94" t="s">
        <v>450</v>
      </c>
      <c r="F12" s="94" t="s">
        <v>451</v>
      </c>
      <c r="G12" s="94" t="s">
        <v>452</v>
      </c>
      <c r="H12" s="94" t="s">
        <v>453</v>
      </c>
      <c r="I12" s="94" t="s">
        <v>454</v>
      </c>
      <c r="J12" s="94" t="s">
        <v>455</v>
      </c>
      <c r="K12" s="94" t="s">
        <v>456</v>
      </c>
      <c r="L12" s="94" t="s">
        <v>457</v>
      </c>
      <c r="M12" s="94" t="s">
        <v>458</v>
      </c>
      <c r="N12" s="94" t="s">
        <v>459</v>
      </c>
      <c r="O12" s="94" t="s">
        <v>460</v>
      </c>
      <c r="P12" s="94" t="s">
        <v>461</v>
      </c>
      <c r="Q12" s="94" t="s">
        <v>462</v>
      </c>
      <c r="R12" s="94" t="s">
        <v>463</v>
      </c>
      <c r="S12" s="94" t="s">
        <v>464</v>
      </c>
      <c r="T12" s="94" t="s">
        <v>465</v>
      </c>
      <c r="U12" s="118" t="s">
        <v>466</v>
      </c>
      <c r="V12" s="94" t="s">
        <v>467</v>
      </c>
      <c r="W12" s="94" t="s">
        <v>468</v>
      </c>
      <c r="X12" s="94" t="s">
        <v>469</v>
      </c>
      <c r="Y12" s="94" t="s">
        <v>470</v>
      </c>
      <c r="Z12" s="94">
        <v>2091923</v>
      </c>
      <c r="AA12" s="98" t="s">
        <v>471</v>
      </c>
      <c r="AB12" s="98" t="s">
        <v>472</v>
      </c>
      <c r="AC12" s="98"/>
      <c r="AD12" s="98"/>
    </row>
    <row r="13" spans="1:30" x14ac:dyDescent="0.25">
      <c r="A13" s="9" t="s">
        <v>11</v>
      </c>
      <c r="B13" s="15" t="s">
        <v>130</v>
      </c>
      <c r="C13" s="15" t="s">
        <v>38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118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</row>
    <row r="14" spans="1:30" ht="54.75" customHeight="1" x14ac:dyDescent="0.25">
      <c r="A14" s="9" t="s">
        <v>12</v>
      </c>
      <c r="B14" s="15" t="s">
        <v>131</v>
      </c>
      <c r="C14" s="15" t="s">
        <v>38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118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</row>
    <row r="15" spans="1:30" x14ac:dyDescent="0.25">
      <c r="A15" s="9" t="s">
        <v>13</v>
      </c>
      <c r="B15" s="15" t="s">
        <v>132</v>
      </c>
      <c r="C15" s="15" t="s">
        <v>38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118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</row>
    <row r="16" spans="1:30" x14ac:dyDescent="0.25">
      <c r="A16" s="9" t="s">
        <v>14</v>
      </c>
      <c r="B16" s="15" t="s">
        <v>473</v>
      </c>
      <c r="C16" s="15" t="s">
        <v>38</v>
      </c>
      <c r="D16" s="94" t="s">
        <v>474</v>
      </c>
      <c r="E16" s="94" t="s">
        <v>475</v>
      </c>
      <c r="F16" s="94" t="s">
        <v>476</v>
      </c>
      <c r="G16" s="94" t="s">
        <v>477</v>
      </c>
      <c r="H16" s="94" t="s">
        <v>478</v>
      </c>
      <c r="I16" s="94" t="s">
        <v>479</v>
      </c>
      <c r="J16" s="94" t="s">
        <v>480</v>
      </c>
      <c r="K16" s="94" t="s">
        <v>481</v>
      </c>
      <c r="L16" s="94" t="s">
        <v>482</v>
      </c>
      <c r="M16" s="94" t="s">
        <v>483</v>
      </c>
      <c r="N16" s="94" t="s">
        <v>484</v>
      </c>
      <c r="O16" s="94" t="s">
        <v>485</v>
      </c>
      <c r="P16" s="94" t="s">
        <v>486</v>
      </c>
      <c r="Q16" s="94" t="s">
        <v>487</v>
      </c>
      <c r="R16" s="94" t="s">
        <v>488</v>
      </c>
      <c r="S16" s="94" t="s">
        <v>489</v>
      </c>
      <c r="T16" s="94" t="s">
        <v>490</v>
      </c>
      <c r="U16" s="118" t="s">
        <v>491</v>
      </c>
      <c r="V16" s="94" t="s">
        <v>492</v>
      </c>
      <c r="W16" s="94" t="s">
        <v>493</v>
      </c>
      <c r="X16" s="94" t="s">
        <v>494</v>
      </c>
      <c r="Y16" s="94" t="s">
        <v>495</v>
      </c>
      <c r="Z16" s="94" t="s">
        <v>496</v>
      </c>
    </row>
    <row r="17" spans="1:28" ht="25.5" x14ac:dyDescent="0.25">
      <c r="A17" s="9" t="s">
        <v>15</v>
      </c>
      <c r="B17" s="15" t="s">
        <v>133</v>
      </c>
      <c r="C17" s="15" t="s">
        <v>38</v>
      </c>
      <c r="D17" s="94" t="s">
        <v>497</v>
      </c>
      <c r="E17" s="94" t="s">
        <v>498</v>
      </c>
      <c r="F17" s="94" t="s">
        <v>499</v>
      </c>
      <c r="G17" s="94" t="s">
        <v>500</v>
      </c>
      <c r="H17" s="94" t="s">
        <v>501</v>
      </c>
      <c r="I17" s="94" t="s">
        <v>502</v>
      </c>
      <c r="J17" s="94" t="s">
        <v>503</v>
      </c>
      <c r="K17" s="94" t="s">
        <v>504</v>
      </c>
      <c r="L17" s="94" t="s">
        <v>505</v>
      </c>
      <c r="M17" s="94" t="s">
        <v>506</v>
      </c>
      <c r="N17" s="94" t="s">
        <v>507</v>
      </c>
      <c r="O17" s="94" t="s">
        <v>508</v>
      </c>
      <c r="P17" s="94" t="s">
        <v>509</v>
      </c>
      <c r="Q17" s="94" t="s">
        <v>510</v>
      </c>
      <c r="R17" s="94" t="s">
        <v>511</v>
      </c>
      <c r="S17" s="94" t="s">
        <v>512</v>
      </c>
      <c r="T17" s="94" t="s">
        <v>513</v>
      </c>
      <c r="U17" s="118" t="s">
        <v>491</v>
      </c>
      <c r="V17" s="94" t="s">
        <v>514</v>
      </c>
      <c r="W17" s="94" t="s">
        <v>515</v>
      </c>
      <c r="X17" s="94" t="s">
        <v>516</v>
      </c>
      <c r="Y17" s="94" t="s">
        <v>517</v>
      </c>
      <c r="Z17" s="94" t="s">
        <v>518</v>
      </c>
    </row>
    <row r="18" spans="1:28" ht="25.5" x14ac:dyDescent="0.25">
      <c r="A18" s="9" t="s">
        <v>16</v>
      </c>
      <c r="B18" s="15" t="s">
        <v>134</v>
      </c>
      <c r="C18" s="15" t="s">
        <v>38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118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</row>
    <row r="19" spans="1:28" x14ac:dyDescent="0.25">
      <c r="A19" s="9" t="s">
        <v>17</v>
      </c>
      <c r="B19" s="15" t="s">
        <v>135</v>
      </c>
      <c r="C19" s="15" t="s">
        <v>38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118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</row>
    <row r="20" spans="1:28" ht="25.5" x14ac:dyDescent="0.25">
      <c r="A20" s="9" t="s">
        <v>18</v>
      </c>
      <c r="B20" s="15" t="s">
        <v>136</v>
      </c>
      <c r="C20" s="15" t="s">
        <v>38</v>
      </c>
      <c r="D20" s="94">
        <v>12900</v>
      </c>
      <c r="E20" s="94">
        <v>88200</v>
      </c>
      <c r="F20" s="94">
        <v>10400</v>
      </c>
      <c r="G20" s="94">
        <v>61200</v>
      </c>
      <c r="H20" s="94">
        <v>37800</v>
      </c>
      <c r="I20" s="94">
        <v>50400</v>
      </c>
      <c r="J20" s="94">
        <v>33000</v>
      </c>
      <c r="K20" s="94" t="s">
        <v>519</v>
      </c>
      <c r="L20" s="94">
        <v>76750</v>
      </c>
      <c r="M20" s="94" t="s">
        <v>520</v>
      </c>
      <c r="N20" s="94">
        <v>87996</v>
      </c>
      <c r="O20" s="94">
        <v>14114</v>
      </c>
      <c r="P20" s="94">
        <v>33850</v>
      </c>
      <c r="Q20" s="94">
        <v>33850</v>
      </c>
      <c r="R20" s="94">
        <v>98650</v>
      </c>
      <c r="S20" s="94">
        <v>56650</v>
      </c>
      <c r="T20" s="94">
        <v>56650</v>
      </c>
      <c r="U20" s="118"/>
      <c r="V20" s="94">
        <v>69850</v>
      </c>
      <c r="W20" s="94" t="s">
        <v>521</v>
      </c>
      <c r="X20" s="94">
        <v>63000</v>
      </c>
      <c r="Y20" s="94">
        <v>37800</v>
      </c>
      <c r="Z20" s="94">
        <v>2000</v>
      </c>
      <c r="AA20" s="98" t="s">
        <v>522</v>
      </c>
      <c r="AB20" s="98" t="s">
        <v>522</v>
      </c>
    </row>
    <row r="21" spans="1:28" x14ac:dyDescent="0.25">
      <c r="A21" s="9" t="s">
        <v>19</v>
      </c>
      <c r="B21" s="15" t="s">
        <v>159</v>
      </c>
      <c r="C21" s="15" t="s">
        <v>38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118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</row>
    <row r="22" spans="1:28" x14ac:dyDescent="0.25">
      <c r="A22" s="9" t="s">
        <v>20</v>
      </c>
      <c r="B22" s="15" t="s">
        <v>47</v>
      </c>
      <c r="C22" s="15" t="s">
        <v>38</v>
      </c>
      <c r="D22" s="94" t="s">
        <v>474</v>
      </c>
      <c r="E22" s="94" t="s">
        <v>475</v>
      </c>
      <c r="F22" s="94" t="s">
        <v>476</v>
      </c>
      <c r="G22" s="94" t="s">
        <v>477</v>
      </c>
      <c r="H22" s="94" t="s">
        <v>478</v>
      </c>
      <c r="I22" s="94" t="s">
        <v>479</v>
      </c>
      <c r="J22" s="94" t="s">
        <v>480</v>
      </c>
      <c r="K22" s="94" t="s">
        <v>481</v>
      </c>
      <c r="L22" s="94" t="s">
        <v>482</v>
      </c>
      <c r="M22" s="94" t="s">
        <v>483</v>
      </c>
      <c r="N22" s="94" t="s">
        <v>484</v>
      </c>
      <c r="O22" s="94" t="s">
        <v>485</v>
      </c>
      <c r="P22" s="94" t="s">
        <v>486</v>
      </c>
      <c r="Q22" s="94" t="s">
        <v>487</v>
      </c>
      <c r="R22" s="94" t="s">
        <v>488</v>
      </c>
      <c r="S22" s="94" t="s">
        <v>489</v>
      </c>
      <c r="T22" s="94" t="s">
        <v>490</v>
      </c>
      <c r="U22" s="118" t="s">
        <v>491</v>
      </c>
      <c r="V22" s="94" t="s">
        <v>492</v>
      </c>
      <c r="W22" s="94" t="s">
        <v>493</v>
      </c>
      <c r="X22" s="94" t="s">
        <v>494</v>
      </c>
      <c r="Y22" s="94" t="s">
        <v>495</v>
      </c>
      <c r="Z22" s="94" t="s">
        <v>496</v>
      </c>
    </row>
    <row r="23" spans="1:28" ht="25.5" x14ac:dyDescent="0.25">
      <c r="A23" s="9" t="s">
        <v>21</v>
      </c>
      <c r="B23" s="15" t="s">
        <v>48</v>
      </c>
      <c r="C23" s="15" t="s">
        <v>38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118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</row>
    <row r="24" spans="1:28" ht="25.5" x14ac:dyDescent="0.25">
      <c r="A24" s="9" t="s">
        <v>22</v>
      </c>
      <c r="B24" s="15" t="s">
        <v>49</v>
      </c>
      <c r="C24" s="15" t="s">
        <v>38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118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</row>
    <row r="25" spans="1:28" ht="25.5" x14ac:dyDescent="0.25">
      <c r="A25" s="9" t="s">
        <v>23</v>
      </c>
      <c r="B25" s="15" t="s">
        <v>50</v>
      </c>
      <c r="C25" s="15" t="s">
        <v>38</v>
      </c>
      <c r="D25" s="94" t="s">
        <v>523</v>
      </c>
      <c r="E25" s="94" t="s">
        <v>524</v>
      </c>
      <c r="F25" s="94" t="s">
        <v>525</v>
      </c>
      <c r="G25" s="94" t="s">
        <v>526</v>
      </c>
      <c r="H25" s="94" t="s">
        <v>527</v>
      </c>
      <c r="I25" s="94" t="s">
        <v>528</v>
      </c>
      <c r="J25" s="94" t="s">
        <v>529</v>
      </c>
      <c r="K25" s="94" t="s">
        <v>530</v>
      </c>
      <c r="L25" s="94" t="s">
        <v>531</v>
      </c>
      <c r="M25" s="94" t="s">
        <v>532</v>
      </c>
      <c r="N25" s="94" t="s">
        <v>533</v>
      </c>
      <c r="O25" s="94" t="s">
        <v>534</v>
      </c>
      <c r="P25" s="94" t="s">
        <v>535</v>
      </c>
      <c r="Q25" s="94" t="s">
        <v>536</v>
      </c>
      <c r="R25" s="94" t="s">
        <v>537</v>
      </c>
      <c r="S25" s="94" t="s">
        <v>538</v>
      </c>
      <c r="T25" s="94" t="s">
        <v>539</v>
      </c>
      <c r="U25" s="118" t="s">
        <v>540</v>
      </c>
      <c r="V25" s="94" t="s">
        <v>541</v>
      </c>
      <c r="W25" s="94" t="s">
        <v>542</v>
      </c>
      <c r="X25" s="94" t="s">
        <v>543</v>
      </c>
      <c r="Y25" s="94" t="s">
        <v>544</v>
      </c>
      <c r="Z25" s="94" t="s">
        <v>545</v>
      </c>
    </row>
    <row r="26" spans="1:28" ht="43.5" customHeight="1" x14ac:dyDescent="0.25">
      <c r="A26" s="213" t="s">
        <v>137</v>
      </c>
      <c r="B26" s="213"/>
      <c r="C26" s="213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19"/>
      <c r="V26" s="100"/>
      <c r="W26" s="100"/>
      <c r="X26" s="100"/>
      <c r="Y26" s="100"/>
      <c r="Z26" s="100"/>
    </row>
    <row r="27" spans="1:28" s="76" customFormat="1" ht="63.75" x14ac:dyDescent="0.25">
      <c r="A27" s="20" t="s">
        <v>202</v>
      </c>
      <c r="B27" s="19" t="s">
        <v>39</v>
      </c>
      <c r="C27" s="15" t="s">
        <v>4</v>
      </c>
      <c r="D27" s="96" t="s">
        <v>354</v>
      </c>
      <c r="E27" s="96" t="s">
        <v>354</v>
      </c>
      <c r="F27" s="96" t="s">
        <v>354</v>
      </c>
      <c r="G27" s="96" t="s">
        <v>354</v>
      </c>
      <c r="H27" s="96" t="s">
        <v>354</v>
      </c>
      <c r="I27" s="96" t="s">
        <v>354</v>
      </c>
      <c r="J27" s="96" t="s">
        <v>354</v>
      </c>
      <c r="K27" s="96" t="s">
        <v>354</v>
      </c>
      <c r="L27" s="96" t="s">
        <v>354</v>
      </c>
      <c r="M27" s="96" t="s">
        <v>354</v>
      </c>
      <c r="N27" s="96" t="s">
        <v>354</v>
      </c>
      <c r="O27" s="96" t="s">
        <v>354</v>
      </c>
      <c r="P27" s="96" t="s">
        <v>354</v>
      </c>
      <c r="Q27" s="96" t="s">
        <v>354</v>
      </c>
      <c r="R27" s="96" t="s">
        <v>354</v>
      </c>
      <c r="S27" s="96" t="s">
        <v>354</v>
      </c>
      <c r="T27" s="96" t="s">
        <v>354</v>
      </c>
      <c r="U27" s="120" t="s">
        <v>354</v>
      </c>
      <c r="V27" s="96" t="s">
        <v>354</v>
      </c>
      <c r="W27" s="96" t="s">
        <v>354</v>
      </c>
      <c r="X27" s="96" t="s">
        <v>354</v>
      </c>
      <c r="Y27" s="96" t="s">
        <v>354</v>
      </c>
      <c r="Z27" s="96" t="s">
        <v>354</v>
      </c>
      <c r="AA27" s="80"/>
      <c r="AB27" s="80"/>
    </row>
    <row r="28" spans="1:28" s="76" customFormat="1" x14ac:dyDescent="0.25">
      <c r="A28" s="9" t="s">
        <v>203</v>
      </c>
      <c r="B28" s="15" t="s">
        <v>51</v>
      </c>
      <c r="C28" s="15" t="s">
        <v>38</v>
      </c>
      <c r="D28" s="94" t="s">
        <v>691</v>
      </c>
      <c r="E28" s="94" t="s">
        <v>692</v>
      </c>
      <c r="F28" s="94" t="s">
        <v>693</v>
      </c>
      <c r="G28" s="94" t="s">
        <v>694</v>
      </c>
      <c r="H28" s="94" t="s">
        <v>695</v>
      </c>
      <c r="I28" s="94" t="s">
        <v>696</v>
      </c>
      <c r="J28" s="94" t="s">
        <v>697</v>
      </c>
      <c r="K28" s="94" t="s">
        <v>1518</v>
      </c>
      <c r="L28" s="94" t="s">
        <v>1519</v>
      </c>
      <c r="M28" s="94" t="s">
        <v>700</v>
      </c>
      <c r="N28" s="94" t="s">
        <v>701</v>
      </c>
      <c r="O28" s="94" t="s">
        <v>702</v>
      </c>
      <c r="P28" s="94" t="s">
        <v>703</v>
      </c>
      <c r="Q28" s="94" t="s">
        <v>704</v>
      </c>
      <c r="R28" s="94" t="s">
        <v>705</v>
      </c>
      <c r="S28" s="94" t="s">
        <v>706</v>
      </c>
      <c r="T28" s="94" t="s">
        <v>707</v>
      </c>
      <c r="U28" s="118" t="s">
        <v>546</v>
      </c>
      <c r="V28" s="94" t="s">
        <v>708</v>
      </c>
      <c r="W28" s="94" t="s">
        <v>1520</v>
      </c>
      <c r="X28" s="94" t="s">
        <v>1521</v>
      </c>
      <c r="Y28" s="94" t="s">
        <v>711</v>
      </c>
      <c r="Z28" s="94" t="s">
        <v>1522</v>
      </c>
      <c r="AA28" s="80" t="s">
        <v>548</v>
      </c>
      <c r="AB28" s="80" t="s">
        <v>549</v>
      </c>
    </row>
    <row r="29" spans="1:28" s="76" customFormat="1" ht="114.75" x14ac:dyDescent="0.25">
      <c r="A29" s="13" t="s">
        <v>165</v>
      </c>
      <c r="B29" s="19" t="s">
        <v>550</v>
      </c>
      <c r="C29" s="15" t="s">
        <v>4</v>
      </c>
      <c r="D29" s="29" t="s">
        <v>551</v>
      </c>
      <c r="E29" s="29" t="s">
        <v>551</v>
      </c>
      <c r="F29" s="29" t="s">
        <v>551</v>
      </c>
      <c r="G29" s="29" t="s">
        <v>551</v>
      </c>
      <c r="H29" s="29" t="s">
        <v>551</v>
      </c>
      <c r="I29" s="29" t="s">
        <v>551</v>
      </c>
      <c r="J29" s="29" t="s">
        <v>551</v>
      </c>
      <c r="K29" s="29" t="s">
        <v>551</v>
      </c>
      <c r="L29" s="29" t="s">
        <v>551</v>
      </c>
      <c r="M29" s="29" t="s">
        <v>551</v>
      </c>
      <c r="N29" s="29" t="s">
        <v>551</v>
      </c>
      <c r="O29" s="29" t="s">
        <v>551</v>
      </c>
      <c r="P29" s="29" t="s">
        <v>551</v>
      </c>
      <c r="Q29" s="29" t="s">
        <v>551</v>
      </c>
      <c r="R29" s="29" t="s">
        <v>551</v>
      </c>
      <c r="S29" s="29" t="s">
        <v>551</v>
      </c>
      <c r="T29" s="29" t="s">
        <v>551</v>
      </c>
      <c r="U29" s="121"/>
      <c r="V29" s="29" t="s">
        <v>551</v>
      </c>
      <c r="W29" s="29" t="s">
        <v>551</v>
      </c>
      <c r="X29" s="29" t="s">
        <v>551</v>
      </c>
      <c r="Y29" s="29" t="s">
        <v>551</v>
      </c>
      <c r="Z29" s="29" t="s">
        <v>551</v>
      </c>
      <c r="AA29" s="80"/>
      <c r="AB29" s="80"/>
    </row>
    <row r="30" spans="1:28" s="76" customFormat="1" ht="25.5" x14ac:dyDescent="0.25">
      <c r="A30" s="18" t="s">
        <v>166</v>
      </c>
      <c r="B30" s="15" t="s">
        <v>53</v>
      </c>
      <c r="C30" s="15" t="s">
        <v>4</v>
      </c>
      <c r="D30" s="29" t="s">
        <v>356</v>
      </c>
      <c r="E30" s="29" t="s">
        <v>356</v>
      </c>
      <c r="F30" s="29" t="s">
        <v>356</v>
      </c>
      <c r="G30" s="29" t="s">
        <v>356</v>
      </c>
      <c r="H30" s="29" t="s">
        <v>356</v>
      </c>
      <c r="I30" s="29" t="s">
        <v>356</v>
      </c>
      <c r="J30" s="29" t="s">
        <v>356</v>
      </c>
      <c r="K30" s="29" t="s">
        <v>356</v>
      </c>
      <c r="L30" s="29" t="s">
        <v>356</v>
      </c>
      <c r="M30" s="29" t="s">
        <v>356</v>
      </c>
      <c r="N30" s="29" t="s">
        <v>356</v>
      </c>
      <c r="O30" s="29" t="s">
        <v>356</v>
      </c>
      <c r="P30" s="29" t="s">
        <v>356</v>
      </c>
      <c r="Q30" s="29" t="s">
        <v>356</v>
      </c>
      <c r="R30" s="29" t="s">
        <v>356</v>
      </c>
      <c r="S30" s="29" t="s">
        <v>356</v>
      </c>
      <c r="T30" s="29" t="s">
        <v>356</v>
      </c>
      <c r="U30" s="121"/>
      <c r="V30" s="29" t="s">
        <v>356</v>
      </c>
      <c r="W30" s="29" t="s">
        <v>356</v>
      </c>
      <c r="X30" s="29" t="s">
        <v>356</v>
      </c>
      <c r="Y30" s="29" t="s">
        <v>356</v>
      </c>
      <c r="Z30" s="29" t="s">
        <v>356</v>
      </c>
      <c r="AA30" s="80"/>
      <c r="AB30" s="80"/>
    </row>
    <row r="31" spans="1:28" s="76" customFormat="1" x14ac:dyDescent="0.25">
      <c r="A31" s="9" t="s">
        <v>167</v>
      </c>
      <c r="B31" s="15" t="s">
        <v>2</v>
      </c>
      <c r="C31" s="15" t="s">
        <v>4</v>
      </c>
      <c r="D31" s="94" t="s">
        <v>357</v>
      </c>
      <c r="E31" s="94" t="s">
        <v>357</v>
      </c>
      <c r="F31" s="94" t="s">
        <v>357</v>
      </c>
      <c r="G31" s="94" t="s">
        <v>357</v>
      </c>
      <c r="H31" s="94" t="s">
        <v>357</v>
      </c>
      <c r="I31" s="94" t="s">
        <v>357</v>
      </c>
      <c r="J31" s="94" t="s">
        <v>357</v>
      </c>
      <c r="K31" s="94" t="s">
        <v>357</v>
      </c>
      <c r="L31" s="94" t="s">
        <v>357</v>
      </c>
      <c r="M31" s="94" t="s">
        <v>357</v>
      </c>
      <c r="N31" s="94" t="s">
        <v>357</v>
      </c>
      <c r="O31" s="94" t="s">
        <v>357</v>
      </c>
      <c r="P31" s="94" t="s">
        <v>357</v>
      </c>
      <c r="Q31" s="94" t="s">
        <v>357</v>
      </c>
      <c r="R31" s="94" t="s">
        <v>357</v>
      </c>
      <c r="S31" s="94" t="s">
        <v>357</v>
      </c>
      <c r="T31" s="94" t="s">
        <v>357</v>
      </c>
      <c r="U31" s="118"/>
      <c r="V31" s="94" t="s">
        <v>357</v>
      </c>
      <c r="W31" s="94" t="s">
        <v>357</v>
      </c>
      <c r="X31" s="94" t="s">
        <v>357</v>
      </c>
      <c r="Y31" s="94" t="s">
        <v>357</v>
      </c>
      <c r="Z31" s="94" t="s">
        <v>357</v>
      </c>
      <c r="AA31" s="80"/>
      <c r="AB31" s="80"/>
    </row>
    <row r="32" spans="1:28" s="76" customFormat="1" x14ac:dyDescent="0.25">
      <c r="A32" s="9" t="s">
        <v>168</v>
      </c>
      <c r="B32" s="15" t="s">
        <v>54</v>
      </c>
      <c r="C32" s="15" t="s">
        <v>38</v>
      </c>
      <c r="D32" s="94" t="s">
        <v>1523</v>
      </c>
      <c r="E32" s="94" t="s">
        <v>1523</v>
      </c>
      <c r="F32" s="94" t="s">
        <v>1523</v>
      </c>
      <c r="G32" s="94" t="s">
        <v>1523</v>
      </c>
      <c r="H32" s="94" t="s">
        <v>1523</v>
      </c>
      <c r="I32" s="94" t="s">
        <v>1523</v>
      </c>
      <c r="J32" s="94" t="s">
        <v>1523</v>
      </c>
      <c r="K32" s="94" t="s">
        <v>1523</v>
      </c>
      <c r="L32" s="94" t="s">
        <v>1523</v>
      </c>
      <c r="M32" s="94" t="s">
        <v>1523</v>
      </c>
      <c r="N32" s="94" t="s">
        <v>1525</v>
      </c>
      <c r="O32" s="94" t="s">
        <v>1525</v>
      </c>
      <c r="P32" s="94" t="s">
        <v>1525</v>
      </c>
      <c r="Q32" s="94" t="s">
        <v>1525</v>
      </c>
      <c r="R32" s="24" t="s">
        <v>1525</v>
      </c>
      <c r="S32" s="94" t="s">
        <v>1523</v>
      </c>
      <c r="T32" s="94" t="s">
        <v>1523</v>
      </c>
      <c r="U32" s="118" t="s">
        <v>1523</v>
      </c>
      <c r="V32" s="94" t="s">
        <v>1523</v>
      </c>
      <c r="W32" s="94" t="s">
        <v>1523</v>
      </c>
      <c r="X32" s="94" t="s">
        <v>1524</v>
      </c>
      <c r="Y32" s="24" t="s">
        <v>1524</v>
      </c>
      <c r="Z32" s="24" t="s">
        <v>1523</v>
      </c>
      <c r="AA32" s="80"/>
      <c r="AB32" s="80"/>
    </row>
    <row r="33" spans="1:28" s="76" customFormat="1" ht="76.5" x14ac:dyDescent="0.25">
      <c r="A33" s="20" t="s">
        <v>202</v>
      </c>
      <c r="B33" s="19" t="s">
        <v>39</v>
      </c>
      <c r="C33" s="15" t="s">
        <v>4</v>
      </c>
      <c r="D33" s="96" t="s">
        <v>552</v>
      </c>
      <c r="E33" s="96" t="s">
        <v>552</v>
      </c>
      <c r="F33" s="96" t="s">
        <v>552</v>
      </c>
      <c r="G33" s="96" t="s">
        <v>552</v>
      </c>
      <c r="H33" s="96" t="s">
        <v>552</v>
      </c>
      <c r="I33" s="96" t="s">
        <v>552</v>
      </c>
      <c r="J33" s="96" t="s">
        <v>552</v>
      </c>
      <c r="K33" s="96" t="s">
        <v>552</v>
      </c>
      <c r="L33" s="96" t="s">
        <v>552</v>
      </c>
      <c r="M33" s="96" t="s">
        <v>552</v>
      </c>
      <c r="N33" s="96" t="s">
        <v>552</v>
      </c>
      <c r="O33" s="96" t="s">
        <v>552</v>
      </c>
      <c r="P33" s="96" t="s">
        <v>552</v>
      </c>
      <c r="Q33" s="96" t="s">
        <v>552</v>
      </c>
      <c r="R33" s="96" t="s">
        <v>552</v>
      </c>
      <c r="S33" s="96" t="s">
        <v>552</v>
      </c>
      <c r="T33" s="96" t="s">
        <v>552</v>
      </c>
      <c r="U33" s="120"/>
      <c r="V33" s="96" t="s">
        <v>552</v>
      </c>
      <c r="W33" s="96" t="s">
        <v>552</v>
      </c>
      <c r="X33" s="96" t="s">
        <v>552</v>
      </c>
      <c r="Y33" s="96" t="s">
        <v>552</v>
      </c>
      <c r="Z33" s="96" t="s">
        <v>552</v>
      </c>
      <c r="AA33" s="80"/>
      <c r="AB33" s="80"/>
    </row>
    <row r="34" spans="1:28" s="76" customFormat="1" x14ac:dyDescent="0.25">
      <c r="A34" s="9" t="s">
        <v>203</v>
      </c>
      <c r="B34" s="15" t="s">
        <v>51</v>
      </c>
      <c r="C34" s="15" t="s">
        <v>38</v>
      </c>
      <c r="D34" s="94" t="s">
        <v>553</v>
      </c>
      <c r="E34" s="94" t="s">
        <v>554</v>
      </c>
      <c r="F34" s="94" t="s">
        <v>555</v>
      </c>
      <c r="G34" s="94" t="s">
        <v>556</v>
      </c>
      <c r="H34" s="94" t="s">
        <v>557</v>
      </c>
      <c r="I34" s="94" t="s">
        <v>558</v>
      </c>
      <c r="J34" s="94" t="s">
        <v>559</v>
      </c>
      <c r="K34" s="94">
        <v>3333415</v>
      </c>
      <c r="L34" s="94" t="s">
        <v>560</v>
      </c>
      <c r="M34" s="94" t="s">
        <v>561</v>
      </c>
      <c r="N34" s="94">
        <v>2234191</v>
      </c>
      <c r="O34" s="94" t="s">
        <v>562</v>
      </c>
      <c r="P34" s="94" t="s">
        <v>563</v>
      </c>
      <c r="Q34" s="94" t="s">
        <v>564</v>
      </c>
      <c r="R34" s="94" t="s">
        <v>565</v>
      </c>
      <c r="S34" s="94" t="s">
        <v>566</v>
      </c>
      <c r="T34" s="94" t="s">
        <v>567</v>
      </c>
      <c r="U34" s="118"/>
      <c r="V34" s="94" t="s">
        <v>568</v>
      </c>
      <c r="W34" s="94" t="s">
        <v>569</v>
      </c>
      <c r="X34" s="94" t="s">
        <v>570</v>
      </c>
      <c r="Y34" s="94" t="s">
        <v>571</v>
      </c>
      <c r="Z34" s="94" t="s">
        <v>572</v>
      </c>
      <c r="AA34" s="80" t="s">
        <v>573</v>
      </c>
      <c r="AB34" s="80" t="s">
        <v>574</v>
      </c>
    </row>
    <row r="35" spans="1:28" s="76" customFormat="1" ht="127.5" x14ac:dyDescent="0.25">
      <c r="A35" s="19" t="s">
        <v>204</v>
      </c>
      <c r="B35" s="19" t="s">
        <v>550</v>
      </c>
      <c r="C35" s="15" t="s">
        <v>4</v>
      </c>
      <c r="D35" s="29" t="s">
        <v>575</v>
      </c>
      <c r="E35" s="29" t="s">
        <v>575</v>
      </c>
      <c r="F35" s="29" t="s">
        <v>575</v>
      </c>
      <c r="G35" s="29" t="s">
        <v>575</v>
      </c>
      <c r="H35" s="29" t="s">
        <v>575</v>
      </c>
      <c r="I35" s="29" t="s">
        <v>575</v>
      </c>
      <c r="J35" s="29" t="s">
        <v>575</v>
      </c>
      <c r="K35" s="29" t="s">
        <v>575</v>
      </c>
      <c r="L35" s="29" t="s">
        <v>575</v>
      </c>
      <c r="M35" s="29" t="s">
        <v>575</v>
      </c>
      <c r="N35" s="29" t="s">
        <v>575</v>
      </c>
      <c r="O35" s="29" t="s">
        <v>575</v>
      </c>
      <c r="P35" s="29" t="s">
        <v>575</v>
      </c>
      <c r="Q35" s="29" t="s">
        <v>575</v>
      </c>
      <c r="R35" s="29" t="s">
        <v>575</v>
      </c>
      <c r="S35" s="29" t="s">
        <v>575</v>
      </c>
      <c r="T35" s="29" t="s">
        <v>575</v>
      </c>
      <c r="U35" s="121"/>
      <c r="V35" s="29" t="s">
        <v>575</v>
      </c>
      <c r="W35" s="29" t="s">
        <v>575</v>
      </c>
      <c r="X35" s="29" t="s">
        <v>575</v>
      </c>
      <c r="Y35" s="29" t="s">
        <v>575</v>
      </c>
      <c r="Z35" s="29" t="s">
        <v>575</v>
      </c>
      <c r="AA35" s="80"/>
      <c r="AB35" s="80"/>
    </row>
    <row r="36" spans="1:28" s="76" customFormat="1" ht="25.5" x14ac:dyDescent="0.25">
      <c r="A36" s="15" t="s">
        <v>205</v>
      </c>
      <c r="B36" s="15" t="s">
        <v>53</v>
      </c>
      <c r="C36" s="15" t="s">
        <v>4</v>
      </c>
      <c r="D36" s="29" t="s">
        <v>356</v>
      </c>
      <c r="E36" s="29" t="s">
        <v>356</v>
      </c>
      <c r="F36" s="29" t="s">
        <v>356</v>
      </c>
      <c r="G36" s="29" t="s">
        <v>356</v>
      </c>
      <c r="H36" s="29" t="s">
        <v>356</v>
      </c>
      <c r="I36" s="29" t="s">
        <v>356</v>
      </c>
      <c r="J36" s="29" t="s">
        <v>356</v>
      </c>
      <c r="K36" s="29" t="s">
        <v>356</v>
      </c>
      <c r="L36" s="29" t="s">
        <v>356</v>
      </c>
      <c r="M36" s="29" t="s">
        <v>356</v>
      </c>
      <c r="N36" s="29" t="s">
        <v>356</v>
      </c>
      <c r="O36" s="29" t="s">
        <v>356</v>
      </c>
      <c r="P36" s="29" t="s">
        <v>356</v>
      </c>
      <c r="Q36" s="29" t="s">
        <v>356</v>
      </c>
      <c r="R36" s="29" t="s">
        <v>356</v>
      </c>
      <c r="S36" s="29" t="s">
        <v>356</v>
      </c>
      <c r="T36" s="29" t="s">
        <v>356</v>
      </c>
      <c r="U36" s="121"/>
      <c r="V36" s="29" t="s">
        <v>356</v>
      </c>
      <c r="W36" s="29" t="s">
        <v>356</v>
      </c>
      <c r="X36" s="29" t="s">
        <v>356</v>
      </c>
      <c r="Y36" s="29" t="s">
        <v>356</v>
      </c>
      <c r="Z36" s="29" t="s">
        <v>356</v>
      </c>
      <c r="AA36" s="80"/>
      <c r="AB36" s="80"/>
    </row>
    <row r="37" spans="1:28" s="76" customFormat="1" x14ac:dyDescent="0.25">
      <c r="A37" s="15" t="s">
        <v>206</v>
      </c>
      <c r="B37" s="15" t="s">
        <v>2</v>
      </c>
      <c r="C37" s="15" t="s">
        <v>4</v>
      </c>
      <c r="D37" s="94" t="s">
        <v>357</v>
      </c>
      <c r="E37" s="94" t="s">
        <v>357</v>
      </c>
      <c r="F37" s="94" t="s">
        <v>357</v>
      </c>
      <c r="G37" s="94" t="s">
        <v>357</v>
      </c>
      <c r="H37" s="94" t="s">
        <v>357</v>
      </c>
      <c r="I37" s="94" t="s">
        <v>357</v>
      </c>
      <c r="J37" s="94" t="s">
        <v>357</v>
      </c>
      <c r="K37" s="94" t="s">
        <v>357</v>
      </c>
      <c r="L37" s="94" t="s">
        <v>357</v>
      </c>
      <c r="M37" s="94" t="s">
        <v>357</v>
      </c>
      <c r="N37" s="94" t="s">
        <v>357</v>
      </c>
      <c r="O37" s="94" t="s">
        <v>357</v>
      </c>
      <c r="P37" s="94" t="s">
        <v>357</v>
      </c>
      <c r="Q37" s="94" t="s">
        <v>357</v>
      </c>
      <c r="R37" s="94" t="s">
        <v>357</v>
      </c>
      <c r="S37" s="94" t="s">
        <v>357</v>
      </c>
      <c r="T37" s="94" t="s">
        <v>357</v>
      </c>
      <c r="U37" s="118"/>
      <c r="V37" s="94" t="s">
        <v>357</v>
      </c>
      <c r="W37" s="94" t="s">
        <v>357</v>
      </c>
      <c r="X37" s="94" t="s">
        <v>357</v>
      </c>
      <c r="Y37" s="94" t="s">
        <v>357</v>
      </c>
      <c r="Z37" s="94" t="s">
        <v>357</v>
      </c>
      <c r="AA37" s="80"/>
      <c r="AB37" s="80"/>
    </row>
    <row r="38" spans="1:28" s="76" customFormat="1" x14ac:dyDescent="0.25">
      <c r="A38" s="15" t="s">
        <v>207</v>
      </c>
      <c r="B38" s="15" t="s">
        <v>54</v>
      </c>
      <c r="C38" s="15" t="s">
        <v>38</v>
      </c>
      <c r="D38" s="24" t="s">
        <v>1526</v>
      </c>
      <c r="E38" s="94" t="s">
        <v>1526</v>
      </c>
      <c r="F38" s="94" t="s">
        <v>1526</v>
      </c>
      <c r="G38" s="94" t="s">
        <v>1526</v>
      </c>
      <c r="H38" s="94" t="s">
        <v>1526</v>
      </c>
      <c r="I38" s="94" t="s">
        <v>1526</v>
      </c>
      <c r="J38" s="94" t="s">
        <v>1526</v>
      </c>
      <c r="K38" s="94" t="s">
        <v>1526</v>
      </c>
      <c r="L38" s="94" t="s">
        <v>1526</v>
      </c>
      <c r="M38" s="94" t="s">
        <v>1526</v>
      </c>
      <c r="N38" s="24" t="s">
        <v>1528</v>
      </c>
      <c r="O38" s="24" t="s">
        <v>1528</v>
      </c>
      <c r="P38" s="24" t="s">
        <v>1528</v>
      </c>
      <c r="Q38" s="24" t="s">
        <v>1528</v>
      </c>
      <c r="R38" s="24" t="s">
        <v>1528</v>
      </c>
      <c r="S38" s="24" t="s">
        <v>1526</v>
      </c>
      <c r="T38" s="24" t="s">
        <v>1526</v>
      </c>
      <c r="U38" s="122" t="s">
        <v>1526</v>
      </c>
      <c r="V38" s="24" t="s">
        <v>1526</v>
      </c>
      <c r="W38" s="24" t="s">
        <v>1526</v>
      </c>
      <c r="X38" s="24" t="s">
        <v>1527</v>
      </c>
      <c r="Y38" s="24" t="s">
        <v>1527</v>
      </c>
      <c r="Z38" s="24" t="s">
        <v>1526</v>
      </c>
      <c r="AA38" s="80"/>
      <c r="AB38" s="80"/>
    </row>
    <row r="39" spans="1:28" s="76" customFormat="1" ht="38.25" x14ac:dyDescent="0.25">
      <c r="A39" s="20" t="s">
        <v>202</v>
      </c>
      <c r="B39" s="19" t="s">
        <v>39</v>
      </c>
      <c r="C39" s="15" t="s">
        <v>4</v>
      </c>
      <c r="D39" s="96" t="s">
        <v>360</v>
      </c>
      <c r="E39" s="96" t="s">
        <v>360</v>
      </c>
      <c r="F39" s="96" t="s">
        <v>360</v>
      </c>
      <c r="G39" s="96" t="s">
        <v>360</v>
      </c>
      <c r="H39" s="96" t="s">
        <v>360</v>
      </c>
      <c r="I39" s="96" t="s">
        <v>360</v>
      </c>
      <c r="J39" s="96" t="s">
        <v>360</v>
      </c>
      <c r="K39" s="96" t="s">
        <v>360</v>
      </c>
      <c r="L39" s="96" t="s">
        <v>360</v>
      </c>
      <c r="M39" s="96" t="s">
        <v>360</v>
      </c>
      <c r="N39" s="96" t="s">
        <v>360</v>
      </c>
      <c r="O39" s="96" t="s">
        <v>360</v>
      </c>
      <c r="P39" s="96" t="s">
        <v>360</v>
      </c>
      <c r="Q39" s="96" t="s">
        <v>360</v>
      </c>
      <c r="R39" s="96" t="s">
        <v>360</v>
      </c>
      <c r="S39" s="96" t="s">
        <v>360</v>
      </c>
      <c r="T39" s="96" t="s">
        <v>360</v>
      </c>
      <c r="U39" s="120"/>
      <c r="V39" s="96" t="s">
        <v>360</v>
      </c>
      <c r="W39" s="96" t="s">
        <v>360</v>
      </c>
      <c r="X39" s="96" t="s">
        <v>360</v>
      </c>
      <c r="Y39" s="96" t="s">
        <v>360</v>
      </c>
      <c r="Z39" s="96" t="s">
        <v>360</v>
      </c>
      <c r="AA39" s="80"/>
      <c r="AB39" s="80"/>
    </row>
    <row r="40" spans="1:28" s="76" customFormat="1" x14ac:dyDescent="0.25">
      <c r="A40" s="9" t="s">
        <v>203</v>
      </c>
      <c r="B40" s="15" t="s">
        <v>51</v>
      </c>
      <c r="C40" s="15" t="s">
        <v>38</v>
      </c>
      <c r="D40" s="94" t="s">
        <v>576</v>
      </c>
      <c r="E40" s="94" t="s">
        <v>577</v>
      </c>
      <c r="F40" s="94" t="s">
        <v>578</v>
      </c>
      <c r="G40" s="94" t="s">
        <v>579</v>
      </c>
      <c r="H40" s="94" t="s">
        <v>580</v>
      </c>
      <c r="I40" s="94" t="s">
        <v>581</v>
      </c>
      <c r="J40" s="94" t="s">
        <v>582</v>
      </c>
      <c r="K40" s="94" t="s">
        <v>583</v>
      </c>
      <c r="L40" s="94" t="s">
        <v>584</v>
      </c>
      <c r="M40" s="94" t="s">
        <v>585</v>
      </c>
      <c r="N40" s="94" t="s">
        <v>586</v>
      </c>
      <c r="O40" s="94" t="s">
        <v>587</v>
      </c>
      <c r="P40" s="94" t="s">
        <v>588</v>
      </c>
      <c r="Q40" s="94" t="s">
        <v>589</v>
      </c>
      <c r="R40" s="94" t="s">
        <v>590</v>
      </c>
      <c r="S40" s="94" t="s">
        <v>591</v>
      </c>
      <c r="T40" s="94" t="s">
        <v>592</v>
      </c>
      <c r="U40" s="118"/>
      <c r="V40" s="94" t="s">
        <v>593</v>
      </c>
      <c r="W40" s="94" t="s">
        <v>594</v>
      </c>
      <c r="X40" s="94" t="s">
        <v>595</v>
      </c>
      <c r="Y40" s="94" t="s">
        <v>596</v>
      </c>
      <c r="Z40" s="94" t="s">
        <v>597</v>
      </c>
      <c r="AA40" s="80" t="s">
        <v>598</v>
      </c>
      <c r="AB40" s="80"/>
    </row>
    <row r="41" spans="1:28" s="76" customFormat="1" ht="41.25" customHeight="1" x14ac:dyDescent="0.25">
      <c r="A41" s="19" t="s">
        <v>209</v>
      </c>
      <c r="B41" s="19" t="s">
        <v>550</v>
      </c>
      <c r="C41" s="15" t="s">
        <v>4</v>
      </c>
      <c r="D41" s="29" t="s">
        <v>360</v>
      </c>
      <c r="E41" s="29" t="s">
        <v>360</v>
      </c>
      <c r="F41" s="29" t="s">
        <v>360</v>
      </c>
      <c r="G41" s="29" t="s">
        <v>360</v>
      </c>
      <c r="H41" s="29" t="s">
        <v>360</v>
      </c>
      <c r="I41" s="29" t="s">
        <v>360</v>
      </c>
      <c r="J41" s="29" t="s">
        <v>360</v>
      </c>
      <c r="K41" s="29" t="s">
        <v>360</v>
      </c>
      <c r="L41" s="29" t="s">
        <v>360</v>
      </c>
      <c r="M41" s="29" t="s">
        <v>360</v>
      </c>
      <c r="N41" s="29" t="s">
        <v>360</v>
      </c>
      <c r="O41" s="29" t="s">
        <v>360</v>
      </c>
      <c r="P41" s="29" t="s">
        <v>360</v>
      </c>
      <c r="Q41" s="29" t="s">
        <v>360</v>
      </c>
      <c r="R41" s="29" t="s">
        <v>360</v>
      </c>
      <c r="S41" s="29" t="s">
        <v>360</v>
      </c>
      <c r="T41" s="29" t="s">
        <v>360</v>
      </c>
      <c r="U41" s="121"/>
      <c r="V41" s="29" t="s">
        <v>360</v>
      </c>
      <c r="W41" s="29" t="s">
        <v>360</v>
      </c>
      <c r="X41" s="29" t="s">
        <v>360</v>
      </c>
      <c r="Y41" s="29" t="s">
        <v>360</v>
      </c>
      <c r="Z41" s="29" t="s">
        <v>360</v>
      </c>
      <c r="AA41" s="80"/>
      <c r="AB41" s="80"/>
    </row>
    <row r="42" spans="1:28" s="76" customFormat="1" ht="25.5" x14ac:dyDescent="0.25">
      <c r="A42" s="15" t="s">
        <v>208</v>
      </c>
      <c r="B42" s="15" t="s">
        <v>53</v>
      </c>
      <c r="C42" s="15" t="s">
        <v>4</v>
      </c>
      <c r="D42" s="29" t="s">
        <v>361</v>
      </c>
      <c r="E42" s="29" t="s">
        <v>361</v>
      </c>
      <c r="F42" s="29" t="s">
        <v>361</v>
      </c>
      <c r="G42" s="29" t="s">
        <v>361</v>
      </c>
      <c r="H42" s="29" t="s">
        <v>361</v>
      </c>
      <c r="I42" s="29" t="s">
        <v>361</v>
      </c>
      <c r="J42" s="29" t="s">
        <v>361</v>
      </c>
      <c r="K42" s="29" t="s">
        <v>361</v>
      </c>
      <c r="L42" s="29" t="s">
        <v>361</v>
      </c>
      <c r="M42" s="29" t="s">
        <v>361</v>
      </c>
      <c r="N42" s="29" t="s">
        <v>361</v>
      </c>
      <c r="O42" s="29" t="s">
        <v>361</v>
      </c>
      <c r="P42" s="29" t="s">
        <v>361</v>
      </c>
      <c r="Q42" s="29" t="s">
        <v>361</v>
      </c>
      <c r="R42" s="29" t="s">
        <v>361</v>
      </c>
      <c r="S42" s="29" t="s">
        <v>361</v>
      </c>
      <c r="T42" s="29" t="s">
        <v>361</v>
      </c>
      <c r="U42" s="121"/>
      <c r="V42" s="29" t="s">
        <v>361</v>
      </c>
      <c r="W42" s="29" t="s">
        <v>361</v>
      </c>
      <c r="X42" s="29" t="s">
        <v>361</v>
      </c>
      <c r="Y42" s="29" t="s">
        <v>361</v>
      </c>
      <c r="Z42" s="29" t="s">
        <v>361</v>
      </c>
      <c r="AA42" s="80"/>
      <c r="AB42" s="80"/>
    </row>
    <row r="43" spans="1:28" s="76" customFormat="1" x14ac:dyDescent="0.25">
      <c r="A43" s="15" t="s">
        <v>210</v>
      </c>
      <c r="B43" s="15" t="s">
        <v>2</v>
      </c>
      <c r="C43" s="15" t="s">
        <v>4</v>
      </c>
      <c r="D43" s="94" t="s">
        <v>357</v>
      </c>
      <c r="E43" s="94" t="s">
        <v>357</v>
      </c>
      <c r="F43" s="94" t="s">
        <v>357</v>
      </c>
      <c r="G43" s="94" t="s">
        <v>357</v>
      </c>
      <c r="H43" s="94" t="s">
        <v>357</v>
      </c>
      <c r="I43" s="94" t="s">
        <v>357</v>
      </c>
      <c r="J43" s="94" t="s">
        <v>357</v>
      </c>
      <c r="K43" s="94" t="s">
        <v>357</v>
      </c>
      <c r="L43" s="94" t="s">
        <v>357</v>
      </c>
      <c r="M43" s="94" t="s">
        <v>357</v>
      </c>
      <c r="N43" s="94" t="s">
        <v>357</v>
      </c>
      <c r="O43" s="94" t="s">
        <v>357</v>
      </c>
      <c r="P43" s="94" t="s">
        <v>357</v>
      </c>
      <c r="Q43" s="94" t="s">
        <v>357</v>
      </c>
      <c r="R43" s="94" t="s">
        <v>357</v>
      </c>
      <c r="S43" s="94" t="s">
        <v>357</v>
      </c>
      <c r="T43" s="94" t="s">
        <v>357</v>
      </c>
      <c r="U43" s="118"/>
      <c r="V43" s="94" t="s">
        <v>357</v>
      </c>
      <c r="W43" s="94" t="s">
        <v>357</v>
      </c>
      <c r="X43" s="94" t="s">
        <v>357</v>
      </c>
      <c r="Y43" s="94" t="s">
        <v>357</v>
      </c>
      <c r="Z43" s="94" t="s">
        <v>357</v>
      </c>
      <c r="AA43" s="80"/>
      <c r="AB43" s="80"/>
    </row>
    <row r="44" spans="1:28" s="102" customFormat="1" x14ac:dyDescent="0.25">
      <c r="A44" s="15" t="s">
        <v>211</v>
      </c>
      <c r="B44" s="15" t="s">
        <v>54</v>
      </c>
      <c r="C44" s="15" t="s">
        <v>38</v>
      </c>
      <c r="D44" s="24" t="s">
        <v>1529</v>
      </c>
      <c r="E44" s="24" t="s">
        <v>1529</v>
      </c>
      <c r="F44" s="24" t="s">
        <v>1530</v>
      </c>
      <c r="G44" s="24" t="s">
        <v>1529</v>
      </c>
      <c r="H44" s="24" t="s">
        <v>1529</v>
      </c>
      <c r="I44" s="24" t="s">
        <v>1529</v>
      </c>
      <c r="J44" s="24" t="s">
        <v>1530</v>
      </c>
      <c r="K44" s="24" t="s">
        <v>1529</v>
      </c>
      <c r="L44" s="24" t="s">
        <v>1530</v>
      </c>
      <c r="M44" s="24" t="s">
        <v>1532</v>
      </c>
      <c r="N44" s="24" t="s">
        <v>1533</v>
      </c>
      <c r="O44" s="24" t="s">
        <v>1533</v>
      </c>
      <c r="P44" s="24" t="s">
        <v>1533</v>
      </c>
      <c r="Q44" s="24" t="s">
        <v>1533</v>
      </c>
      <c r="R44" s="24" t="s">
        <v>1533</v>
      </c>
      <c r="S44" s="24" t="s">
        <v>1530</v>
      </c>
      <c r="T44" s="24" t="s">
        <v>1530</v>
      </c>
      <c r="U44" s="122" t="s">
        <v>1530</v>
      </c>
      <c r="V44" s="24" t="s">
        <v>1530</v>
      </c>
      <c r="W44" s="24" t="s">
        <v>1530</v>
      </c>
      <c r="X44" s="24" t="s">
        <v>1531</v>
      </c>
      <c r="Y44" s="24" t="s">
        <v>1531</v>
      </c>
      <c r="Z44" s="24" t="s">
        <v>1530</v>
      </c>
      <c r="AA44" s="101"/>
      <c r="AB44" s="101"/>
    </row>
    <row r="45" spans="1:28" s="76" customFormat="1" ht="25.5" x14ac:dyDescent="0.25">
      <c r="A45" s="20" t="s">
        <v>202</v>
      </c>
      <c r="B45" s="19" t="s">
        <v>39</v>
      </c>
      <c r="C45" s="15" t="s">
        <v>4</v>
      </c>
      <c r="D45" s="96" t="s">
        <v>362</v>
      </c>
      <c r="E45" s="96" t="s">
        <v>362</v>
      </c>
      <c r="F45" s="96" t="s">
        <v>362</v>
      </c>
      <c r="G45" s="96" t="s">
        <v>362</v>
      </c>
      <c r="H45" s="96" t="s">
        <v>362</v>
      </c>
      <c r="I45" s="96" t="s">
        <v>362</v>
      </c>
      <c r="J45" s="96" t="s">
        <v>362</v>
      </c>
      <c r="K45" s="96" t="s">
        <v>362</v>
      </c>
      <c r="L45" s="96" t="s">
        <v>362</v>
      </c>
      <c r="M45" s="96" t="s">
        <v>362</v>
      </c>
      <c r="N45" s="96" t="s">
        <v>362</v>
      </c>
      <c r="O45" s="96" t="s">
        <v>362</v>
      </c>
      <c r="P45" s="96" t="s">
        <v>362</v>
      </c>
      <c r="Q45" s="96" t="s">
        <v>362</v>
      </c>
      <c r="R45" s="96" t="s">
        <v>362</v>
      </c>
      <c r="S45" s="96" t="s">
        <v>362</v>
      </c>
      <c r="T45" s="96" t="s">
        <v>362</v>
      </c>
      <c r="U45" s="120"/>
      <c r="V45" s="96" t="s">
        <v>362</v>
      </c>
      <c r="W45" s="96" t="s">
        <v>362</v>
      </c>
      <c r="X45" s="96" t="s">
        <v>362</v>
      </c>
      <c r="Y45" s="96" t="s">
        <v>362</v>
      </c>
      <c r="Z45" s="96" t="s">
        <v>362</v>
      </c>
      <c r="AA45" s="80"/>
      <c r="AB45" s="80"/>
    </row>
    <row r="46" spans="1:28" s="76" customFormat="1" x14ac:dyDescent="0.25">
      <c r="A46" s="9" t="s">
        <v>203</v>
      </c>
      <c r="B46" s="15" t="s">
        <v>51</v>
      </c>
      <c r="C46" s="15" t="s">
        <v>38</v>
      </c>
      <c r="D46" s="94" t="s">
        <v>599</v>
      </c>
      <c r="E46" s="94">
        <v>1745509</v>
      </c>
      <c r="F46" s="94" t="s">
        <v>600</v>
      </c>
      <c r="G46" s="94" t="s">
        <v>601</v>
      </c>
      <c r="H46" s="94">
        <v>760340</v>
      </c>
      <c r="I46" s="94" t="s">
        <v>602</v>
      </c>
      <c r="J46" s="94" t="s">
        <v>603</v>
      </c>
      <c r="K46" s="94">
        <v>2016500</v>
      </c>
      <c r="L46" s="94">
        <v>1486900</v>
      </c>
      <c r="M46" s="94">
        <v>1171600</v>
      </c>
      <c r="N46" s="94">
        <v>1591200</v>
      </c>
      <c r="O46" s="94" t="s">
        <v>604</v>
      </c>
      <c r="P46" s="94" t="s">
        <v>605</v>
      </c>
      <c r="Q46" s="94" t="s">
        <v>606</v>
      </c>
      <c r="R46" s="94">
        <v>1516319</v>
      </c>
      <c r="S46" s="94">
        <v>551953</v>
      </c>
      <c r="T46" s="94">
        <v>1183518</v>
      </c>
      <c r="U46" s="118">
        <v>0</v>
      </c>
      <c r="V46" s="94">
        <v>554397</v>
      </c>
      <c r="W46" s="94" t="s">
        <v>607</v>
      </c>
      <c r="X46" s="94" t="s">
        <v>608</v>
      </c>
      <c r="Y46" s="94" t="s">
        <v>609</v>
      </c>
      <c r="Z46" s="94" t="s">
        <v>610</v>
      </c>
      <c r="AA46" s="80" t="s">
        <v>611</v>
      </c>
      <c r="AB46" s="80" t="s">
        <v>612</v>
      </c>
    </row>
    <row r="47" spans="1:28" s="76" customFormat="1" ht="41.25" customHeight="1" x14ac:dyDescent="0.25">
      <c r="A47" s="19" t="s">
        <v>212</v>
      </c>
      <c r="B47" s="19" t="s">
        <v>550</v>
      </c>
      <c r="C47" s="15" t="s">
        <v>4</v>
      </c>
      <c r="D47" s="29" t="s">
        <v>613</v>
      </c>
      <c r="E47" s="29" t="s">
        <v>613</v>
      </c>
      <c r="F47" s="29" t="s">
        <v>613</v>
      </c>
      <c r="G47" s="29" t="s">
        <v>613</v>
      </c>
      <c r="H47" s="29" t="s">
        <v>613</v>
      </c>
      <c r="I47" s="29" t="s">
        <v>613</v>
      </c>
      <c r="J47" s="29" t="s">
        <v>613</v>
      </c>
      <c r="K47" s="29" t="s">
        <v>613</v>
      </c>
      <c r="L47" s="29" t="s">
        <v>613</v>
      </c>
      <c r="M47" s="29" t="s">
        <v>613</v>
      </c>
      <c r="N47" s="29" t="s">
        <v>613</v>
      </c>
      <c r="O47" s="29" t="s">
        <v>613</v>
      </c>
      <c r="P47" s="29" t="s">
        <v>613</v>
      </c>
      <c r="Q47" s="29" t="s">
        <v>613</v>
      </c>
      <c r="R47" s="29" t="s">
        <v>613</v>
      </c>
      <c r="S47" s="29" t="s">
        <v>613</v>
      </c>
      <c r="T47" s="29" t="s">
        <v>613</v>
      </c>
      <c r="U47" s="121"/>
      <c r="V47" s="29" t="s">
        <v>613</v>
      </c>
      <c r="W47" s="29" t="s">
        <v>613</v>
      </c>
      <c r="X47" s="29" t="s">
        <v>613</v>
      </c>
      <c r="Y47" s="29" t="s">
        <v>613</v>
      </c>
      <c r="Z47" s="29" t="s">
        <v>613</v>
      </c>
      <c r="AA47" s="80"/>
      <c r="AB47" s="80"/>
    </row>
    <row r="48" spans="1:28" s="76" customFormat="1" ht="25.5" x14ac:dyDescent="0.25">
      <c r="A48" s="15" t="s">
        <v>213</v>
      </c>
      <c r="B48" s="15" t="s">
        <v>53</v>
      </c>
      <c r="C48" s="15" t="s">
        <v>4</v>
      </c>
      <c r="D48" s="29" t="s">
        <v>614</v>
      </c>
      <c r="E48" s="29" t="s">
        <v>614</v>
      </c>
      <c r="F48" s="29" t="s">
        <v>614</v>
      </c>
      <c r="G48" s="29" t="s">
        <v>614</v>
      </c>
      <c r="H48" s="29" t="s">
        <v>614</v>
      </c>
      <c r="I48" s="29" t="s">
        <v>614</v>
      </c>
      <c r="J48" s="29" t="s">
        <v>614</v>
      </c>
      <c r="K48" s="29" t="s">
        <v>614</v>
      </c>
      <c r="L48" s="29" t="s">
        <v>614</v>
      </c>
      <c r="M48" s="29" t="s">
        <v>614</v>
      </c>
      <c r="N48" s="29" t="s">
        <v>614</v>
      </c>
      <c r="O48" s="29" t="s">
        <v>614</v>
      </c>
      <c r="P48" s="29" t="s">
        <v>614</v>
      </c>
      <c r="Q48" s="29" t="s">
        <v>614</v>
      </c>
      <c r="R48" s="29" t="s">
        <v>614</v>
      </c>
      <c r="S48" s="29" t="s">
        <v>614</v>
      </c>
      <c r="T48" s="29" t="s">
        <v>614</v>
      </c>
      <c r="U48" s="121"/>
      <c r="V48" s="29" t="s">
        <v>614</v>
      </c>
      <c r="W48" s="29" t="s">
        <v>614</v>
      </c>
      <c r="X48" s="29" t="s">
        <v>614</v>
      </c>
      <c r="Y48" s="29" t="s">
        <v>614</v>
      </c>
      <c r="Z48" s="29" t="s">
        <v>614</v>
      </c>
      <c r="AA48" s="80"/>
      <c r="AB48" s="80"/>
    </row>
    <row r="49" spans="1:28" s="76" customFormat="1" x14ac:dyDescent="0.25">
      <c r="A49" s="15" t="s">
        <v>214</v>
      </c>
      <c r="B49" s="15" t="s">
        <v>2</v>
      </c>
      <c r="C49" s="15" t="s">
        <v>4</v>
      </c>
      <c r="D49" s="94" t="s">
        <v>357</v>
      </c>
      <c r="E49" s="94" t="s">
        <v>357</v>
      </c>
      <c r="F49" s="94" t="s">
        <v>357</v>
      </c>
      <c r="G49" s="94" t="s">
        <v>357</v>
      </c>
      <c r="H49" s="94" t="s">
        <v>357</v>
      </c>
      <c r="I49" s="94" t="s">
        <v>357</v>
      </c>
      <c r="J49" s="94" t="s">
        <v>357</v>
      </c>
      <c r="K49" s="94" t="s">
        <v>357</v>
      </c>
      <c r="L49" s="94" t="s">
        <v>357</v>
      </c>
      <c r="M49" s="94" t="s">
        <v>357</v>
      </c>
      <c r="N49" s="94" t="s">
        <v>357</v>
      </c>
      <c r="O49" s="94" t="s">
        <v>357</v>
      </c>
      <c r="P49" s="94" t="s">
        <v>357</v>
      </c>
      <c r="Q49" s="94" t="s">
        <v>357</v>
      </c>
      <c r="R49" s="94" t="s">
        <v>357</v>
      </c>
      <c r="S49" s="94" t="s">
        <v>357</v>
      </c>
      <c r="T49" s="94" t="s">
        <v>357</v>
      </c>
      <c r="U49" s="118"/>
      <c r="V49" s="94" t="s">
        <v>357</v>
      </c>
      <c r="W49" s="94" t="s">
        <v>357</v>
      </c>
      <c r="X49" s="94" t="s">
        <v>357</v>
      </c>
      <c r="Y49" s="94" t="s">
        <v>357</v>
      </c>
      <c r="Z49" s="94" t="s">
        <v>357</v>
      </c>
      <c r="AA49" s="80"/>
      <c r="AB49" s="80"/>
    </row>
    <row r="50" spans="1:28" s="102" customFormat="1" x14ac:dyDescent="0.25">
      <c r="A50" s="15" t="s">
        <v>215</v>
      </c>
      <c r="B50" s="15" t="s">
        <v>54</v>
      </c>
      <c r="C50" s="15" t="s">
        <v>38</v>
      </c>
      <c r="D50" s="24" t="s">
        <v>1534</v>
      </c>
      <c r="E50" s="24" t="s">
        <v>1534</v>
      </c>
      <c r="F50" s="24" t="s">
        <v>1534</v>
      </c>
      <c r="G50" s="24" t="s">
        <v>1534</v>
      </c>
      <c r="H50" s="24" t="s">
        <v>1534</v>
      </c>
      <c r="I50" s="24" t="s">
        <v>1534</v>
      </c>
      <c r="J50" s="24" t="s">
        <v>1534</v>
      </c>
      <c r="K50" s="24" t="s">
        <v>1534</v>
      </c>
      <c r="L50" s="24" t="s">
        <v>1534</v>
      </c>
      <c r="M50" s="24" t="s">
        <v>1534</v>
      </c>
      <c r="N50" s="24" t="s">
        <v>1535</v>
      </c>
      <c r="O50" s="24" t="s">
        <v>1535</v>
      </c>
      <c r="P50" s="24" t="s">
        <v>1535</v>
      </c>
      <c r="Q50" s="24" t="s">
        <v>1535</v>
      </c>
      <c r="R50" s="24" t="s">
        <v>1535</v>
      </c>
      <c r="S50" s="24" t="s">
        <v>1536</v>
      </c>
      <c r="T50" s="24" t="s">
        <v>1536</v>
      </c>
      <c r="U50" s="122" t="s">
        <v>1536</v>
      </c>
      <c r="V50" s="24" t="s">
        <v>1536</v>
      </c>
      <c r="W50" s="24" t="s">
        <v>1536</v>
      </c>
      <c r="X50" s="24" t="s">
        <v>1537</v>
      </c>
      <c r="Y50" s="24" t="s">
        <v>1537</v>
      </c>
      <c r="Z50" s="24" t="s">
        <v>1536</v>
      </c>
      <c r="AA50" s="101"/>
      <c r="AB50" s="101"/>
    </row>
    <row r="51" spans="1:28" s="76" customFormat="1" ht="38.25" hidden="1" x14ac:dyDescent="0.25">
      <c r="A51" s="20" t="s">
        <v>202</v>
      </c>
      <c r="B51" s="19" t="s">
        <v>39</v>
      </c>
      <c r="C51" s="15" t="s">
        <v>4</v>
      </c>
      <c r="D51" s="96" t="s">
        <v>365</v>
      </c>
      <c r="E51" s="96" t="s">
        <v>365</v>
      </c>
      <c r="F51" s="96" t="s">
        <v>365</v>
      </c>
      <c r="G51" s="96" t="s">
        <v>365</v>
      </c>
      <c r="H51" s="96" t="s">
        <v>365</v>
      </c>
      <c r="I51" s="96" t="s">
        <v>365</v>
      </c>
      <c r="J51" s="96" t="s">
        <v>365</v>
      </c>
      <c r="K51" s="96" t="s">
        <v>365</v>
      </c>
      <c r="L51" s="96" t="s">
        <v>365</v>
      </c>
      <c r="M51" s="96" t="s">
        <v>365</v>
      </c>
      <c r="N51" s="96" t="s">
        <v>365</v>
      </c>
      <c r="O51" s="96" t="s">
        <v>365</v>
      </c>
      <c r="P51" s="96" t="s">
        <v>365</v>
      </c>
      <c r="Q51" s="96" t="s">
        <v>365</v>
      </c>
      <c r="R51" s="96" t="s">
        <v>365</v>
      </c>
      <c r="S51" s="96" t="s">
        <v>365</v>
      </c>
      <c r="T51" s="96" t="s">
        <v>365</v>
      </c>
      <c r="U51" s="120"/>
      <c r="V51" s="96" t="s">
        <v>365</v>
      </c>
      <c r="W51" s="96" t="s">
        <v>365</v>
      </c>
      <c r="X51" s="96" t="s">
        <v>365</v>
      </c>
      <c r="Y51" s="96" t="s">
        <v>365</v>
      </c>
      <c r="Z51" s="96" t="s">
        <v>365</v>
      </c>
      <c r="AA51" s="80"/>
      <c r="AB51" s="80"/>
    </row>
    <row r="52" spans="1:28" s="76" customFormat="1" hidden="1" x14ac:dyDescent="0.25">
      <c r="A52" s="9" t="s">
        <v>203</v>
      </c>
      <c r="B52" s="15" t="s">
        <v>51</v>
      </c>
      <c r="C52" s="15" t="s">
        <v>38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118"/>
      <c r="V52" s="94">
        <v>0</v>
      </c>
      <c r="W52" s="94">
        <v>0</v>
      </c>
      <c r="X52" s="94">
        <v>0</v>
      </c>
      <c r="Y52" s="94">
        <v>0</v>
      </c>
      <c r="Z52" s="94">
        <v>0</v>
      </c>
      <c r="AA52" s="80">
        <v>0</v>
      </c>
      <c r="AB52" s="80">
        <v>0</v>
      </c>
    </row>
    <row r="53" spans="1:28" s="76" customFormat="1" ht="140.25" hidden="1" x14ac:dyDescent="0.25">
      <c r="A53" s="19" t="s">
        <v>226</v>
      </c>
      <c r="B53" s="19" t="s">
        <v>550</v>
      </c>
      <c r="C53" s="15" t="s">
        <v>4</v>
      </c>
      <c r="D53" s="29" t="s">
        <v>615</v>
      </c>
      <c r="E53" s="29" t="s">
        <v>615</v>
      </c>
      <c r="F53" s="29" t="s">
        <v>615</v>
      </c>
      <c r="G53" s="29" t="s">
        <v>615</v>
      </c>
      <c r="H53" s="29" t="s">
        <v>615</v>
      </c>
      <c r="I53" s="29" t="s">
        <v>615</v>
      </c>
      <c r="J53" s="29" t="s">
        <v>615</v>
      </c>
      <c r="K53" s="29" t="s">
        <v>615</v>
      </c>
      <c r="L53" s="29" t="s">
        <v>615</v>
      </c>
      <c r="M53" s="29" t="s">
        <v>615</v>
      </c>
      <c r="N53" s="29" t="s">
        <v>615</v>
      </c>
      <c r="O53" s="29" t="s">
        <v>615</v>
      </c>
      <c r="P53" s="29" t="s">
        <v>615</v>
      </c>
      <c r="Q53" s="29" t="s">
        <v>615</v>
      </c>
      <c r="R53" s="29" t="s">
        <v>615</v>
      </c>
      <c r="S53" s="29" t="s">
        <v>615</v>
      </c>
      <c r="T53" s="29" t="s">
        <v>615</v>
      </c>
      <c r="U53" s="121"/>
      <c r="V53" s="29" t="s">
        <v>615</v>
      </c>
      <c r="W53" s="29" t="s">
        <v>615</v>
      </c>
      <c r="X53" s="29" t="s">
        <v>615</v>
      </c>
      <c r="Y53" s="29" t="s">
        <v>615</v>
      </c>
      <c r="Z53" s="29" t="s">
        <v>615</v>
      </c>
      <c r="AA53" s="80"/>
      <c r="AB53" s="80"/>
    </row>
    <row r="54" spans="1:28" s="76" customFormat="1" ht="25.5" hidden="1" x14ac:dyDescent="0.25">
      <c r="A54" s="15" t="s">
        <v>227</v>
      </c>
      <c r="B54" s="15" t="s">
        <v>53</v>
      </c>
      <c r="C54" s="15" t="s">
        <v>4</v>
      </c>
      <c r="D54" s="29" t="s">
        <v>361</v>
      </c>
      <c r="E54" s="29" t="s">
        <v>361</v>
      </c>
      <c r="F54" s="29" t="s">
        <v>361</v>
      </c>
      <c r="G54" s="29" t="s">
        <v>361</v>
      </c>
      <c r="H54" s="29" t="s">
        <v>361</v>
      </c>
      <c r="I54" s="29" t="s">
        <v>361</v>
      </c>
      <c r="J54" s="29" t="s">
        <v>361</v>
      </c>
      <c r="K54" s="29" t="s">
        <v>361</v>
      </c>
      <c r="L54" s="29" t="s">
        <v>361</v>
      </c>
      <c r="M54" s="29" t="s">
        <v>361</v>
      </c>
      <c r="N54" s="29" t="s">
        <v>361</v>
      </c>
      <c r="O54" s="29" t="s">
        <v>361</v>
      </c>
      <c r="P54" s="29" t="s">
        <v>361</v>
      </c>
      <c r="Q54" s="29" t="s">
        <v>361</v>
      </c>
      <c r="R54" s="29" t="s">
        <v>361</v>
      </c>
      <c r="S54" s="29" t="s">
        <v>361</v>
      </c>
      <c r="T54" s="29" t="s">
        <v>361</v>
      </c>
      <c r="U54" s="121"/>
      <c r="V54" s="29" t="s">
        <v>361</v>
      </c>
      <c r="W54" s="29" t="s">
        <v>361</v>
      </c>
      <c r="X54" s="29" t="s">
        <v>361</v>
      </c>
      <c r="Y54" s="29" t="s">
        <v>361</v>
      </c>
      <c r="Z54" s="29" t="s">
        <v>361</v>
      </c>
      <c r="AA54" s="80"/>
      <c r="AB54" s="80"/>
    </row>
    <row r="55" spans="1:28" s="76" customFormat="1" hidden="1" x14ac:dyDescent="0.25">
      <c r="A55" s="15" t="s">
        <v>228</v>
      </c>
      <c r="B55" s="15" t="s">
        <v>2</v>
      </c>
      <c r="C55" s="15" t="s">
        <v>4</v>
      </c>
      <c r="D55" s="94" t="s">
        <v>357</v>
      </c>
      <c r="E55" s="94" t="s">
        <v>357</v>
      </c>
      <c r="F55" s="94" t="s">
        <v>357</v>
      </c>
      <c r="G55" s="94" t="s">
        <v>357</v>
      </c>
      <c r="H55" s="94" t="s">
        <v>357</v>
      </c>
      <c r="I55" s="94" t="s">
        <v>357</v>
      </c>
      <c r="J55" s="94" t="s">
        <v>357</v>
      </c>
      <c r="K55" s="94" t="s">
        <v>357</v>
      </c>
      <c r="L55" s="94" t="s">
        <v>357</v>
      </c>
      <c r="M55" s="94" t="s">
        <v>357</v>
      </c>
      <c r="N55" s="94" t="s">
        <v>357</v>
      </c>
      <c r="O55" s="94" t="s">
        <v>357</v>
      </c>
      <c r="P55" s="94" t="s">
        <v>357</v>
      </c>
      <c r="Q55" s="94" t="s">
        <v>357</v>
      </c>
      <c r="R55" s="94" t="s">
        <v>357</v>
      </c>
      <c r="S55" s="94" t="s">
        <v>357</v>
      </c>
      <c r="T55" s="94" t="s">
        <v>357</v>
      </c>
      <c r="U55" s="118"/>
      <c r="V55" s="94" t="s">
        <v>357</v>
      </c>
      <c r="W55" s="94" t="s">
        <v>357</v>
      </c>
      <c r="X55" s="94" t="s">
        <v>357</v>
      </c>
      <c r="Y55" s="94" t="s">
        <v>357</v>
      </c>
      <c r="Z55" s="94" t="s">
        <v>357</v>
      </c>
      <c r="AA55" s="80"/>
      <c r="AB55" s="80"/>
    </row>
    <row r="56" spans="1:28" s="76" customFormat="1" hidden="1" x14ac:dyDescent="0.25">
      <c r="A56" s="15" t="s">
        <v>229</v>
      </c>
      <c r="B56" s="15" t="s">
        <v>54</v>
      </c>
      <c r="C56" s="15" t="s">
        <v>38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118"/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80"/>
      <c r="AB56" s="80"/>
    </row>
    <row r="57" spans="1:28" s="76" customFormat="1" ht="51" x14ac:dyDescent="0.25">
      <c r="A57" s="20" t="s">
        <v>202</v>
      </c>
      <c r="B57" s="19" t="s">
        <v>39</v>
      </c>
      <c r="C57" s="15" t="s">
        <v>4</v>
      </c>
      <c r="D57" s="96" t="s">
        <v>616</v>
      </c>
      <c r="E57" s="96" t="s">
        <v>616</v>
      </c>
      <c r="F57" s="96" t="s">
        <v>616</v>
      </c>
      <c r="G57" s="96" t="s">
        <v>616</v>
      </c>
      <c r="H57" s="96" t="s">
        <v>616</v>
      </c>
      <c r="I57" s="96" t="s">
        <v>616</v>
      </c>
      <c r="J57" s="96" t="s">
        <v>616</v>
      </c>
      <c r="K57" s="96" t="s">
        <v>616</v>
      </c>
      <c r="L57" s="96" t="s">
        <v>616</v>
      </c>
      <c r="M57" s="96" t="s">
        <v>616</v>
      </c>
      <c r="N57" s="96" t="s">
        <v>616</v>
      </c>
      <c r="O57" s="96" t="s">
        <v>616</v>
      </c>
      <c r="P57" s="96" t="s">
        <v>616</v>
      </c>
      <c r="Q57" s="96" t="s">
        <v>616</v>
      </c>
      <c r="R57" s="96" t="s">
        <v>616</v>
      </c>
      <c r="S57" s="96" t="s">
        <v>616</v>
      </c>
      <c r="T57" s="96" t="s">
        <v>616</v>
      </c>
      <c r="U57" s="120"/>
      <c r="V57" s="96" t="s">
        <v>616</v>
      </c>
      <c r="W57" s="96" t="s">
        <v>616</v>
      </c>
      <c r="X57" s="96" t="s">
        <v>616</v>
      </c>
      <c r="Y57" s="96" t="s">
        <v>616</v>
      </c>
      <c r="Z57" s="96" t="s">
        <v>616</v>
      </c>
      <c r="AA57" s="80"/>
      <c r="AB57" s="80"/>
    </row>
    <row r="58" spans="1:28" s="76" customFormat="1" x14ac:dyDescent="0.25">
      <c r="A58" s="9" t="s">
        <v>203</v>
      </c>
      <c r="B58" s="15" t="s">
        <v>51</v>
      </c>
      <c r="C58" s="15" t="s">
        <v>38</v>
      </c>
      <c r="D58" s="94" t="s">
        <v>617</v>
      </c>
      <c r="E58" s="94" t="s">
        <v>618</v>
      </c>
      <c r="F58" s="94" t="s">
        <v>619</v>
      </c>
      <c r="G58" s="94" t="s">
        <v>620</v>
      </c>
      <c r="H58" s="94" t="s">
        <v>621</v>
      </c>
      <c r="I58" s="94" t="s">
        <v>622</v>
      </c>
      <c r="J58" s="94" t="s">
        <v>623</v>
      </c>
      <c r="K58" s="94" t="s">
        <v>624</v>
      </c>
      <c r="L58" s="94" t="s">
        <v>625</v>
      </c>
      <c r="M58" s="94" t="s">
        <v>626</v>
      </c>
      <c r="N58" s="94" t="s">
        <v>627</v>
      </c>
      <c r="O58" s="94" t="s">
        <v>628</v>
      </c>
      <c r="P58" s="94" t="s">
        <v>629</v>
      </c>
      <c r="Q58" s="94" t="s">
        <v>630</v>
      </c>
      <c r="R58" s="94" t="s">
        <v>631</v>
      </c>
      <c r="S58" s="94" t="s">
        <v>632</v>
      </c>
      <c r="T58" s="94" t="s">
        <v>633</v>
      </c>
      <c r="U58" s="118">
        <v>0</v>
      </c>
      <c r="V58" s="94" t="s">
        <v>634</v>
      </c>
      <c r="W58" s="94" t="s">
        <v>635</v>
      </c>
      <c r="X58" s="94" t="s">
        <v>636</v>
      </c>
      <c r="Y58" s="94" t="s">
        <v>637</v>
      </c>
      <c r="Z58" s="94" t="s">
        <v>638</v>
      </c>
      <c r="AA58" s="80" t="s">
        <v>639</v>
      </c>
      <c r="AB58" s="80" t="s">
        <v>640</v>
      </c>
    </row>
    <row r="59" spans="1:28" s="76" customFormat="1" ht="63.75" x14ac:dyDescent="0.25">
      <c r="A59" s="19" t="s">
        <v>230</v>
      </c>
      <c r="B59" s="19" t="s">
        <v>550</v>
      </c>
      <c r="C59" s="15" t="s">
        <v>4</v>
      </c>
      <c r="D59" s="29" t="s">
        <v>641</v>
      </c>
      <c r="E59" s="29" t="s">
        <v>641</v>
      </c>
      <c r="F59" s="29" t="s">
        <v>641</v>
      </c>
      <c r="G59" s="29" t="s">
        <v>641</v>
      </c>
      <c r="H59" s="29" t="s">
        <v>641</v>
      </c>
      <c r="I59" s="29" t="s">
        <v>641</v>
      </c>
      <c r="J59" s="29" t="s">
        <v>641</v>
      </c>
      <c r="K59" s="29" t="s">
        <v>641</v>
      </c>
      <c r="L59" s="29" t="s">
        <v>641</v>
      </c>
      <c r="M59" s="29" t="s">
        <v>641</v>
      </c>
      <c r="N59" s="29" t="s">
        <v>641</v>
      </c>
      <c r="O59" s="29" t="s">
        <v>641</v>
      </c>
      <c r="P59" s="29" t="s">
        <v>641</v>
      </c>
      <c r="Q59" s="29" t="s">
        <v>641</v>
      </c>
      <c r="R59" s="29" t="s">
        <v>641</v>
      </c>
      <c r="S59" s="29" t="s">
        <v>641</v>
      </c>
      <c r="T59" s="29" t="s">
        <v>641</v>
      </c>
      <c r="U59" s="121"/>
      <c r="V59" s="29" t="s">
        <v>641</v>
      </c>
      <c r="W59" s="29" t="s">
        <v>641</v>
      </c>
      <c r="X59" s="29" t="s">
        <v>641</v>
      </c>
      <c r="Y59" s="29" t="s">
        <v>641</v>
      </c>
      <c r="Z59" s="29" t="s">
        <v>641</v>
      </c>
      <c r="AA59" s="80"/>
      <c r="AB59" s="80"/>
    </row>
    <row r="60" spans="1:28" s="76" customFormat="1" ht="25.5" x14ac:dyDescent="0.25">
      <c r="A60" s="15" t="s">
        <v>231</v>
      </c>
      <c r="B60" s="15" t="s">
        <v>53</v>
      </c>
      <c r="C60" s="15" t="s">
        <v>4</v>
      </c>
      <c r="D60" s="29" t="s">
        <v>356</v>
      </c>
      <c r="E60" s="29" t="s">
        <v>356</v>
      </c>
      <c r="F60" s="29" t="s">
        <v>356</v>
      </c>
      <c r="G60" s="29" t="s">
        <v>356</v>
      </c>
      <c r="H60" s="29" t="s">
        <v>356</v>
      </c>
      <c r="I60" s="29" t="s">
        <v>356</v>
      </c>
      <c r="J60" s="29" t="s">
        <v>356</v>
      </c>
      <c r="K60" s="29" t="s">
        <v>356</v>
      </c>
      <c r="L60" s="29" t="s">
        <v>356</v>
      </c>
      <c r="M60" s="29" t="s">
        <v>356</v>
      </c>
      <c r="N60" s="29" t="s">
        <v>356</v>
      </c>
      <c r="O60" s="29" t="s">
        <v>356</v>
      </c>
      <c r="P60" s="29" t="s">
        <v>356</v>
      </c>
      <c r="Q60" s="29" t="s">
        <v>356</v>
      </c>
      <c r="R60" s="29" t="s">
        <v>356</v>
      </c>
      <c r="S60" s="29" t="s">
        <v>356</v>
      </c>
      <c r="T60" s="29" t="s">
        <v>356</v>
      </c>
      <c r="U60" s="121"/>
      <c r="V60" s="29" t="s">
        <v>356</v>
      </c>
      <c r="W60" s="29" t="s">
        <v>356</v>
      </c>
      <c r="X60" s="29" t="s">
        <v>356</v>
      </c>
      <c r="Y60" s="29" t="s">
        <v>356</v>
      </c>
      <c r="Z60" s="29" t="s">
        <v>356</v>
      </c>
      <c r="AA60" s="80"/>
      <c r="AB60" s="80"/>
    </row>
    <row r="61" spans="1:28" s="76" customFormat="1" x14ac:dyDescent="0.25">
      <c r="A61" s="15" t="s">
        <v>232</v>
      </c>
      <c r="B61" s="15" t="s">
        <v>2</v>
      </c>
      <c r="C61" s="15" t="s">
        <v>4</v>
      </c>
      <c r="D61" s="94" t="s">
        <v>357</v>
      </c>
      <c r="E61" s="94" t="s">
        <v>357</v>
      </c>
      <c r="F61" s="94" t="s">
        <v>357</v>
      </c>
      <c r="G61" s="94" t="s">
        <v>357</v>
      </c>
      <c r="H61" s="94" t="s">
        <v>357</v>
      </c>
      <c r="I61" s="94" t="s">
        <v>357</v>
      </c>
      <c r="J61" s="94" t="s">
        <v>357</v>
      </c>
      <c r="K61" s="94" t="s">
        <v>357</v>
      </c>
      <c r="L61" s="94" t="s">
        <v>357</v>
      </c>
      <c r="M61" s="94" t="s">
        <v>357</v>
      </c>
      <c r="N61" s="94" t="s">
        <v>357</v>
      </c>
      <c r="O61" s="94" t="s">
        <v>357</v>
      </c>
      <c r="P61" s="94" t="s">
        <v>357</v>
      </c>
      <c r="Q61" s="94" t="s">
        <v>357</v>
      </c>
      <c r="R61" s="94" t="s">
        <v>357</v>
      </c>
      <c r="S61" s="94" t="s">
        <v>357</v>
      </c>
      <c r="T61" s="94" t="s">
        <v>357</v>
      </c>
      <c r="U61" s="118"/>
      <c r="V61" s="94" t="s">
        <v>357</v>
      </c>
      <c r="W61" s="94" t="s">
        <v>357</v>
      </c>
      <c r="X61" s="94" t="s">
        <v>357</v>
      </c>
      <c r="Y61" s="94" t="s">
        <v>357</v>
      </c>
      <c r="Z61" s="94" t="s">
        <v>357</v>
      </c>
      <c r="AA61" s="80"/>
      <c r="AB61" s="80"/>
    </row>
    <row r="62" spans="1:28" s="102" customFormat="1" x14ac:dyDescent="0.25">
      <c r="A62" s="15" t="s">
        <v>233</v>
      </c>
      <c r="B62" s="15" t="s">
        <v>54</v>
      </c>
      <c r="C62" s="15" t="s">
        <v>38</v>
      </c>
      <c r="D62" s="24" t="s">
        <v>1538</v>
      </c>
      <c r="E62" s="24" t="s">
        <v>1538</v>
      </c>
      <c r="F62" s="24" t="s">
        <v>1538</v>
      </c>
      <c r="G62" s="24" t="s">
        <v>1538</v>
      </c>
      <c r="H62" s="24" t="s">
        <v>1538</v>
      </c>
      <c r="I62" s="24" t="s">
        <v>1538</v>
      </c>
      <c r="J62" s="24" t="s">
        <v>1538</v>
      </c>
      <c r="K62" s="24" t="s">
        <v>1538</v>
      </c>
      <c r="L62" s="24" t="s">
        <v>1538</v>
      </c>
      <c r="M62" s="24" t="s">
        <v>1538</v>
      </c>
      <c r="N62" s="24" t="s">
        <v>1539</v>
      </c>
      <c r="O62" s="24" t="s">
        <v>1539</v>
      </c>
      <c r="P62" s="24" t="s">
        <v>1539</v>
      </c>
      <c r="Q62" s="24" t="s">
        <v>1539</v>
      </c>
      <c r="R62" s="24" t="s">
        <v>1539</v>
      </c>
      <c r="S62" s="24" t="s">
        <v>1538</v>
      </c>
      <c r="T62" s="24" t="s">
        <v>1538</v>
      </c>
      <c r="U62" s="122" t="s">
        <v>1538</v>
      </c>
      <c r="V62" s="24" t="s">
        <v>1538</v>
      </c>
      <c r="W62" s="24" t="s">
        <v>1538</v>
      </c>
      <c r="X62" s="24" t="s">
        <v>1540</v>
      </c>
      <c r="Y62" s="24" t="s">
        <v>1540</v>
      </c>
      <c r="Z62" s="24" t="s">
        <v>1538</v>
      </c>
      <c r="AA62" s="101"/>
      <c r="AB62" s="101"/>
    </row>
    <row r="63" spans="1:28" s="76" customFormat="1" ht="102" x14ac:dyDescent="0.25">
      <c r="A63" s="20" t="s">
        <v>202</v>
      </c>
      <c r="B63" s="19" t="s">
        <v>39</v>
      </c>
      <c r="C63" s="15" t="s">
        <v>4</v>
      </c>
      <c r="D63" s="96" t="s">
        <v>642</v>
      </c>
      <c r="E63" s="96" t="s">
        <v>642</v>
      </c>
      <c r="F63" s="96" t="s">
        <v>642</v>
      </c>
      <c r="G63" s="96" t="s">
        <v>642</v>
      </c>
      <c r="H63" s="96" t="s">
        <v>642</v>
      </c>
      <c r="I63" s="96" t="s">
        <v>642</v>
      </c>
      <c r="J63" s="96" t="s">
        <v>642</v>
      </c>
      <c r="K63" s="96" t="s">
        <v>642</v>
      </c>
      <c r="L63" s="96" t="s">
        <v>642</v>
      </c>
      <c r="M63" s="96" t="s">
        <v>642</v>
      </c>
      <c r="N63" s="96" t="s">
        <v>642</v>
      </c>
      <c r="O63" s="96" t="s">
        <v>642</v>
      </c>
      <c r="P63" s="96" t="s">
        <v>642</v>
      </c>
      <c r="Q63" s="96" t="s">
        <v>642</v>
      </c>
      <c r="R63" s="96" t="s">
        <v>642</v>
      </c>
      <c r="S63" s="96" t="s">
        <v>642</v>
      </c>
      <c r="T63" s="96" t="s">
        <v>642</v>
      </c>
      <c r="U63" s="120"/>
      <c r="V63" s="96" t="s">
        <v>642</v>
      </c>
      <c r="W63" s="96" t="s">
        <v>642</v>
      </c>
      <c r="X63" s="96" t="s">
        <v>642</v>
      </c>
      <c r="Y63" s="96" t="s">
        <v>642</v>
      </c>
      <c r="Z63" s="96" t="s">
        <v>642</v>
      </c>
      <c r="AA63" s="80"/>
      <c r="AB63" s="80"/>
    </row>
    <row r="64" spans="1:28" s="76" customFormat="1" x14ac:dyDescent="0.25">
      <c r="A64" s="9" t="s">
        <v>203</v>
      </c>
      <c r="B64" s="15" t="s">
        <v>51</v>
      </c>
      <c r="C64" s="15" t="s">
        <v>38</v>
      </c>
      <c r="D64" s="94" t="s">
        <v>643</v>
      </c>
      <c r="E64" s="94" t="s">
        <v>644</v>
      </c>
      <c r="F64" s="94" t="s">
        <v>645</v>
      </c>
      <c r="G64" s="94" t="s">
        <v>646</v>
      </c>
      <c r="H64" s="94" t="s">
        <v>647</v>
      </c>
      <c r="I64" s="94" t="s">
        <v>648</v>
      </c>
      <c r="J64" s="94" t="s">
        <v>649</v>
      </c>
      <c r="K64" s="94" t="s">
        <v>650</v>
      </c>
      <c r="L64" s="94" t="s">
        <v>651</v>
      </c>
      <c r="M64" s="94" t="s">
        <v>652</v>
      </c>
      <c r="N64" s="94" t="s">
        <v>653</v>
      </c>
      <c r="O64" s="94" t="s">
        <v>654</v>
      </c>
      <c r="P64" s="94" t="s">
        <v>655</v>
      </c>
      <c r="Q64" s="94" t="s">
        <v>656</v>
      </c>
      <c r="R64" s="94" t="s">
        <v>657</v>
      </c>
      <c r="S64" s="94" t="s">
        <v>658</v>
      </c>
      <c r="T64" s="94" t="s">
        <v>659</v>
      </c>
      <c r="U64" s="118">
        <v>0</v>
      </c>
      <c r="V64" s="94" t="s">
        <v>660</v>
      </c>
      <c r="W64" s="94" t="s">
        <v>661</v>
      </c>
      <c r="X64" s="94" t="s">
        <v>662</v>
      </c>
      <c r="Y64" s="94" t="s">
        <v>663</v>
      </c>
      <c r="Z64" s="94" t="s">
        <v>664</v>
      </c>
      <c r="AA64" s="80" t="s">
        <v>665</v>
      </c>
      <c r="AB64" s="80" t="s">
        <v>666</v>
      </c>
    </row>
    <row r="65" spans="1:28" s="76" customFormat="1" ht="114.75" x14ac:dyDescent="0.25">
      <c r="A65" s="19" t="s">
        <v>234</v>
      </c>
      <c r="B65" s="19" t="s">
        <v>550</v>
      </c>
      <c r="C65" s="15" t="s">
        <v>4</v>
      </c>
      <c r="D65" s="29" t="s">
        <v>667</v>
      </c>
      <c r="E65" s="29" t="s">
        <v>667</v>
      </c>
      <c r="F65" s="29" t="s">
        <v>667</v>
      </c>
      <c r="G65" s="29" t="s">
        <v>667</v>
      </c>
      <c r="H65" s="29" t="s">
        <v>667</v>
      </c>
      <c r="I65" s="29" t="s">
        <v>667</v>
      </c>
      <c r="J65" s="29" t="s">
        <v>667</v>
      </c>
      <c r="K65" s="29" t="s">
        <v>667</v>
      </c>
      <c r="L65" s="29" t="s">
        <v>667</v>
      </c>
      <c r="M65" s="29" t="s">
        <v>667</v>
      </c>
      <c r="N65" s="29" t="s">
        <v>667</v>
      </c>
      <c r="O65" s="29" t="s">
        <v>667</v>
      </c>
      <c r="P65" s="29" t="s">
        <v>667</v>
      </c>
      <c r="Q65" s="29" t="s">
        <v>667</v>
      </c>
      <c r="R65" s="29" t="s">
        <v>667</v>
      </c>
      <c r="S65" s="29" t="s">
        <v>667</v>
      </c>
      <c r="T65" s="29" t="s">
        <v>667</v>
      </c>
      <c r="U65" s="121"/>
      <c r="V65" s="29" t="s">
        <v>667</v>
      </c>
      <c r="W65" s="29" t="s">
        <v>667</v>
      </c>
      <c r="X65" s="29" t="s">
        <v>667</v>
      </c>
      <c r="Y65" s="29" t="s">
        <v>667</v>
      </c>
      <c r="Z65" s="29" t="s">
        <v>667</v>
      </c>
      <c r="AA65" s="80"/>
      <c r="AB65" s="80"/>
    </row>
    <row r="66" spans="1:28" s="76" customFormat="1" ht="25.5" x14ac:dyDescent="0.25">
      <c r="A66" s="15" t="s">
        <v>235</v>
      </c>
      <c r="B66" s="15" t="s">
        <v>53</v>
      </c>
      <c r="C66" s="15" t="s">
        <v>4</v>
      </c>
      <c r="D66" s="29" t="s">
        <v>361</v>
      </c>
      <c r="E66" s="29" t="s">
        <v>361</v>
      </c>
      <c r="F66" s="29" t="s">
        <v>361</v>
      </c>
      <c r="G66" s="29" t="s">
        <v>361</v>
      </c>
      <c r="H66" s="29" t="s">
        <v>361</v>
      </c>
      <c r="I66" s="29" t="s">
        <v>361</v>
      </c>
      <c r="J66" s="29" t="s">
        <v>361</v>
      </c>
      <c r="K66" s="29" t="s">
        <v>361</v>
      </c>
      <c r="L66" s="29" t="s">
        <v>361</v>
      </c>
      <c r="M66" s="29" t="s">
        <v>361</v>
      </c>
      <c r="N66" s="29" t="s">
        <v>361</v>
      </c>
      <c r="O66" s="29" t="s">
        <v>361</v>
      </c>
      <c r="P66" s="29" t="s">
        <v>361</v>
      </c>
      <c r="Q66" s="29" t="s">
        <v>361</v>
      </c>
      <c r="R66" s="29" t="s">
        <v>361</v>
      </c>
      <c r="S66" s="29" t="s">
        <v>361</v>
      </c>
      <c r="T66" s="29" t="s">
        <v>361</v>
      </c>
      <c r="U66" s="121"/>
      <c r="V66" s="29" t="s">
        <v>361</v>
      </c>
      <c r="W66" s="29" t="s">
        <v>361</v>
      </c>
      <c r="X66" s="29" t="s">
        <v>361</v>
      </c>
      <c r="Y66" s="29" t="s">
        <v>361</v>
      </c>
      <c r="Z66" s="29" t="s">
        <v>361</v>
      </c>
      <c r="AA66" s="80"/>
      <c r="AB66" s="80"/>
    </row>
    <row r="67" spans="1:28" s="76" customFormat="1" x14ac:dyDescent="0.25">
      <c r="A67" s="15" t="s">
        <v>236</v>
      </c>
      <c r="B67" s="15" t="s">
        <v>2</v>
      </c>
      <c r="C67" s="15" t="s">
        <v>4</v>
      </c>
      <c r="D67" s="94" t="s">
        <v>357</v>
      </c>
      <c r="E67" s="94" t="s">
        <v>357</v>
      </c>
      <c r="F67" s="94" t="s">
        <v>357</v>
      </c>
      <c r="G67" s="94" t="s">
        <v>357</v>
      </c>
      <c r="H67" s="94" t="s">
        <v>357</v>
      </c>
      <c r="I67" s="94" t="s">
        <v>357</v>
      </c>
      <c r="J67" s="94" t="s">
        <v>357</v>
      </c>
      <c r="K67" s="94" t="s">
        <v>357</v>
      </c>
      <c r="L67" s="94" t="s">
        <v>357</v>
      </c>
      <c r="M67" s="94" t="s">
        <v>357</v>
      </c>
      <c r="N67" s="94" t="s">
        <v>357</v>
      </c>
      <c r="O67" s="94" t="s">
        <v>357</v>
      </c>
      <c r="P67" s="94" t="s">
        <v>357</v>
      </c>
      <c r="Q67" s="94" t="s">
        <v>357</v>
      </c>
      <c r="R67" s="94" t="s">
        <v>357</v>
      </c>
      <c r="S67" s="94" t="s">
        <v>357</v>
      </c>
      <c r="T67" s="94" t="s">
        <v>357</v>
      </c>
      <c r="U67" s="118"/>
      <c r="V67" s="94" t="s">
        <v>357</v>
      </c>
      <c r="W67" s="94" t="s">
        <v>357</v>
      </c>
      <c r="X67" s="94" t="s">
        <v>357</v>
      </c>
      <c r="Y67" s="94" t="s">
        <v>357</v>
      </c>
      <c r="Z67" s="94" t="s">
        <v>357</v>
      </c>
      <c r="AA67" s="80"/>
      <c r="AB67" s="80"/>
    </row>
    <row r="68" spans="1:28" s="102" customFormat="1" x14ac:dyDescent="0.25">
      <c r="A68" s="15" t="s">
        <v>237</v>
      </c>
      <c r="B68" s="15" t="s">
        <v>54</v>
      </c>
      <c r="C68" s="15" t="s">
        <v>38</v>
      </c>
      <c r="D68" s="24" t="s">
        <v>1541</v>
      </c>
      <c r="E68" s="24" t="s">
        <v>1541</v>
      </c>
      <c r="F68" s="24" t="s">
        <v>1541</v>
      </c>
      <c r="G68" s="24" t="s">
        <v>1541</v>
      </c>
      <c r="H68" s="24" t="s">
        <v>1541</v>
      </c>
      <c r="I68" s="24" t="s">
        <v>1541</v>
      </c>
      <c r="J68" s="24" t="s">
        <v>1541</v>
      </c>
      <c r="K68" s="24" t="s">
        <v>1541</v>
      </c>
      <c r="L68" s="24" t="s">
        <v>1541</v>
      </c>
      <c r="M68" s="24" t="s">
        <v>1541</v>
      </c>
      <c r="N68" s="24" t="s">
        <v>1542</v>
      </c>
      <c r="O68" s="24" t="s">
        <v>1542</v>
      </c>
      <c r="P68" s="24" t="s">
        <v>1542</v>
      </c>
      <c r="Q68" s="24" t="s">
        <v>1542</v>
      </c>
      <c r="R68" s="24" t="s">
        <v>1542</v>
      </c>
      <c r="S68" s="24" t="s">
        <v>1541</v>
      </c>
      <c r="T68" s="24" t="s">
        <v>1541</v>
      </c>
      <c r="U68" s="122" t="s">
        <v>1541</v>
      </c>
      <c r="V68" s="24" t="s">
        <v>1541</v>
      </c>
      <c r="W68" s="24" t="s">
        <v>1541</v>
      </c>
      <c r="X68" s="24" t="s">
        <v>1543</v>
      </c>
      <c r="Y68" s="24" t="s">
        <v>1543</v>
      </c>
      <c r="Z68" s="24" t="s">
        <v>1541</v>
      </c>
      <c r="AA68" s="101"/>
      <c r="AB68" s="101"/>
    </row>
    <row r="69" spans="1:28" s="76" customFormat="1" ht="65.25" customHeight="1" x14ac:dyDescent="0.25">
      <c r="A69" s="20" t="s">
        <v>202</v>
      </c>
      <c r="B69" s="19" t="s">
        <v>39</v>
      </c>
      <c r="C69" s="15" t="s">
        <v>4</v>
      </c>
      <c r="D69" s="96" t="s">
        <v>371</v>
      </c>
      <c r="E69" s="96" t="s">
        <v>371</v>
      </c>
      <c r="F69" s="96" t="s">
        <v>371</v>
      </c>
      <c r="G69" s="96" t="s">
        <v>371</v>
      </c>
      <c r="H69" s="96" t="s">
        <v>371</v>
      </c>
      <c r="I69" s="96" t="s">
        <v>371</v>
      </c>
      <c r="J69" s="96" t="s">
        <v>371</v>
      </c>
      <c r="K69" s="96" t="s">
        <v>371</v>
      </c>
      <c r="L69" s="96" t="s">
        <v>371</v>
      </c>
      <c r="M69" s="96" t="s">
        <v>371</v>
      </c>
      <c r="N69" s="96" t="s">
        <v>371</v>
      </c>
      <c r="O69" s="96" t="s">
        <v>371</v>
      </c>
      <c r="P69" s="96" t="s">
        <v>371</v>
      </c>
      <c r="Q69" s="96" t="s">
        <v>371</v>
      </c>
      <c r="R69" s="96" t="s">
        <v>371</v>
      </c>
      <c r="S69" s="96" t="s">
        <v>371</v>
      </c>
      <c r="T69" s="96" t="s">
        <v>371</v>
      </c>
      <c r="U69" s="120"/>
      <c r="V69" s="96" t="s">
        <v>371</v>
      </c>
      <c r="W69" s="96" t="s">
        <v>371</v>
      </c>
      <c r="X69" s="96" t="s">
        <v>371</v>
      </c>
      <c r="Y69" s="96" t="s">
        <v>371</v>
      </c>
      <c r="Z69" s="96" t="s">
        <v>371</v>
      </c>
      <c r="AA69" s="80"/>
      <c r="AB69" s="80"/>
    </row>
    <row r="70" spans="1:28" s="76" customFormat="1" x14ac:dyDescent="0.25">
      <c r="A70" s="9" t="s">
        <v>203</v>
      </c>
      <c r="B70" s="15" t="s">
        <v>51</v>
      </c>
      <c r="C70" s="15" t="s">
        <v>38</v>
      </c>
      <c r="D70" s="94" t="s">
        <v>668</v>
      </c>
      <c r="E70" s="94" t="s">
        <v>669</v>
      </c>
      <c r="F70" s="94" t="s">
        <v>670</v>
      </c>
      <c r="G70" s="94" t="s">
        <v>405</v>
      </c>
      <c r="H70" s="94" t="s">
        <v>671</v>
      </c>
      <c r="I70" s="94" t="s">
        <v>672</v>
      </c>
      <c r="J70" s="94" t="s">
        <v>673</v>
      </c>
      <c r="K70" s="94" t="s">
        <v>674</v>
      </c>
      <c r="L70" s="94" t="s">
        <v>675</v>
      </c>
      <c r="M70" s="94" t="s">
        <v>676</v>
      </c>
      <c r="N70" s="94" t="s">
        <v>677</v>
      </c>
      <c r="O70" s="94" t="s">
        <v>678</v>
      </c>
      <c r="P70" s="94" t="s">
        <v>406</v>
      </c>
      <c r="Q70" s="94" t="s">
        <v>679</v>
      </c>
      <c r="R70" s="94" t="s">
        <v>680</v>
      </c>
      <c r="S70" s="94" t="s">
        <v>681</v>
      </c>
      <c r="T70" s="94" t="s">
        <v>682</v>
      </c>
      <c r="U70" s="118"/>
      <c r="V70" s="94" t="s">
        <v>683</v>
      </c>
      <c r="W70" s="94" t="s">
        <v>684</v>
      </c>
      <c r="X70" s="94" t="s">
        <v>685</v>
      </c>
      <c r="Y70" s="94" t="s">
        <v>686</v>
      </c>
      <c r="Z70" s="94" t="s">
        <v>687</v>
      </c>
      <c r="AA70" s="80" t="s">
        <v>688</v>
      </c>
      <c r="AB70" s="80" t="s">
        <v>689</v>
      </c>
    </row>
    <row r="71" spans="1:28" s="76" customFormat="1" ht="76.5" x14ac:dyDescent="0.25">
      <c r="A71" s="19" t="s">
        <v>238</v>
      </c>
      <c r="B71" s="19" t="s">
        <v>550</v>
      </c>
      <c r="C71" s="15" t="s">
        <v>4</v>
      </c>
      <c r="D71" s="29" t="s">
        <v>690</v>
      </c>
      <c r="E71" s="29" t="s">
        <v>690</v>
      </c>
      <c r="F71" s="29" t="s">
        <v>690</v>
      </c>
      <c r="G71" s="29" t="s">
        <v>690</v>
      </c>
      <c r="H71" s="29" t="s">
        <v>690</v>
      </c>
      <c r="I71" s="29" t="s">
        <v>690</v>
      </c>
      <c r="J71" s="29" t="s">
        <v>690</v>
      </c>
      <c r="K71" s="29" t="s">
        <v>690</v>
      </c>
      <c r="L71" s="29" t="s">
        <v>690</v>
      </c>
      <c r="M71" s="29" t="s">
        <v>690</v>
      </c>
      <c r="N71" s="29" t="s">
        <v>690</v>
      </c>
      <c r="O71" s="29" t="s">
        <v>690</v>
      </c>
      <c r="P71" s="29" t="s">
        <v>690</v>
      </c>
      <c r="Q71" s="29" t="s">
        <v>690</v>
      </c>
      <c r="R71" s="29" t="s">
        <v>690</v>
      </c>
      <c r="S71" s="29" t="s">
        <v>690</v>
      </c>
      <c r="T71" s="29" t="s">
        <v>690</v>
      </c>
      <c r="U71" s="121"/>
      <c r="V71" s="29" t="s">
        <v>690</v>
      </c>
      <c r="W71" s="29" t="s">
        <v>690</v>
      </c>
      <c r="X71" s="29" t="s">
        <v>690</v>
      </c>
      <c r="Y71" s="29" t="s">
        <v>690</v>
      </c>
      <c r="Z71" s="29" t="s">
        <v>690</v>
      </c>
      <c r="AA71" s="80"/>
      <c r="AB71" s="80"/>
    </row>
    <row r="72" spans="1:28" s="76" customFormat="1" ht="25.5" x14ac:dyDescent="0.25">
      <c r="A72" s="15" t="s">
        <v>239</v>
      </c>
      <c r="B72" s="15" t="s">
        <v>53</v>
      </c>
      <c r="C72" s="15" t="s">
        <v>4</v>
      </c>
      <c r="D72" s="29" t="s">
        <v>373</v>
      </c>
      <c r="E72" s="29" t="s">
        <v>373</v>
      </c>
      <c r="F72" s="29" t="s">
        <v>373</v>
      </c>
      <c r="G72" s="29" t="s">
        <v>373</v>
      </c>
      <c r="H72" s="29" t="s">
        <v>373</v>
      </c>
      <c r="I72" s="29" t="s">
        <v>373</v>
      </c>
      <c r="J72" s="29" t="s">
        <v>373</v>
      </c>
      <c r="K72" s="29" t="s">
        <v>373</v>
      </c>
      <c r="L72" s="29" t="s">
        <v>373</v>
      </c>
      <c r="M72" s="29" t="s">
        <v>373</v>
      </c>
      <c r="N72" s="29" t="s">
        <v>373</v>
      </c>
      <c r="O72" s="29" t="s">
        <v>373</v>
      </c>
      <c r="P72" s="29" t="s">
        <v>373</v>
      </c>
      <c r="Q72" s="29" t="s">
        <v>373</v>
      </c>
      <c r="R72" s="29" t="s">
        <v>373</v>
      </c>
      <c r="S72" s="29" t="s">
        <v>373</v>
      </c>
      <c r="T72" s="29" t="s">
        <v>373</v>
      </c>
      <c r="U72" s="121"/>
      <c r="V72" s="29" t="s">
        <v>373</v>
      </c>
      <c r="W72" s="29" t="s">
        <v>373</v>
      </c>
      <c r="X72" s="29" t="s">
        <v>373</v>
      </c>
      <c r="Y72" s="29" t="s">
        <v>373</v>
      </c>
      <c r="Z72" s="29" t="s">
        <v>373</v>
      </c>
      <c r="AA72" s="80"/>
      <c r="AB72" s="80"/>
    </row>
    <row r="73" spans="1:28" s="76" customFormat="1" x14ac:dyDescent="0.25">
      <c r="A73" s="15" t="s">
        <v>240</v>
      </c>
      <c r="B73" s="15" t="s">
        <v>2</v>
      </c>
      <c r="C73" s="15" t="s">
        <v>4</v>
      </c>
      <c r="D73" s="94" t="s">
        <v>357</v>
      </c>
      <c r="E73" s="94" t="s">
        <v>357</v>
      </c>
      <c r="F73" s="94" t="s">
        <v>357</v>
      </c>
      <c r="G73" s="94" t="s">
        <v>357</v>
      </c>
      <c r="H73" s="94" t="s">
        <v>357</v>
      </c>
      <c r="I73" s="94" t="s">
        <v>357</v>
      </c>
      <c r="J73" s="94" t="s">
        <v>357</v>
      </c>
      <c r="K73" s="94" t="s">
        <v>357</v>
      </c>
      <c r="L73" s="94" t="s">
        <v>357</v>
      </c>
      <c r="M73" s="94" t="s">
        <v>357</v>
      </c>
      <c r="N73" s="94" t="s">
        <v>357</v>
      </c>
      <c r="O73" s="94" t="s">
        <v>357</v>
      </c>
      <c r="P73" s="94" t="s">
        <v>357</v>
      </c>
      <c r="Q73" s="94" t="s">
        <v>357</v>
      </c>
      <c r="R73" s="94" t="s">
        <v>357</v>
      </c>
      <c r="S73" s="94" t="s">
        <v>357</v>
      </c>
      <c r="T73" s="94" t="s">
        <v>357</v>
      </c>
      <c r="U73" s="118"/>
      <c r="V73" s="94" t="s">
        <v>357</v>
      </c>
      <c r="W73" s="94" t="s">
        <v>357</v>
      </c>
      <c r="X73" s="94" t="s">
        <v>357</v>
      </c>
      <c r="Y73" s="94" t="s">
        <v>357</v>
      </c>
      <c r="Z73" s="94" t="s">
        <v>357</v>
      </c>
      <c r="AA73" s="80"/>
      <c r="AB73" s="80"/>
    </row>
    <row r="74" spans="1:28" s="102" customFormat="1" x14ac:dyDescent="0.25">
      <c r="A74" s="15" t="s">
        <v>241</v>
      </c>
      <c r="B74" s="15" t="s">
        <v>54</v>
      </c>
      <c r="C74" s="15" t="s">
        <v>38</v>
      </c>
      <c r="D74" s="24" t="s">
        <v>1544</v>
      </c>
      <c r="E74" s="24" t="s">
        <v>1544</v>
      </c>
      <c r="F74" s="24" t="s">
        <v>1544</v>
      </c>
      <c r="G74" s="24" t="s">
        <v>1544</v>
      </c>
      <c r="H74" s="24" t="s">
        <v>1544</v>
      </c>
      <c r="I74" s="24" t="s">
        <v>1544</v>
      </c>
      <c r="J74" s="24" t="s">
        <v>1544</v>
      </c>
      <c r="K74" s="24" t="s">
        <v>1544</v>
      </c>
      <c r="L74" s="24" t="s">
        <v>1544</v>
      </c>
      <c r="M74" s="24" t="s">
        <v>1544</v>
      </c>
      <c r="N74" s="24" t="s">
        <v>1545</v>
      </c>
      <c r="O74" s="24" t="s">
        <v>1545</v>
      </c>
      <c r="P74" s="24" t="s">
        <v>1545</v>
      </c>
      <c r="Q74" s="24" t="s">
        <v>1545</v>
      </c>
      <c r="R74" s="24" t="s">
        <v>1545</v>
      </c>
      <c r="S74" s="24" t="s">
        <v>1544</v>
      </c>
      <c r="T74" s="24" t="s">
        <v>1544</v>
      </c>
      <c r="U74" s="122" t="s">
        <v>1544</v>
      </c>
      <c r="V74" s="24" t="s">
        <v>1544</v>
      </c>
      <c r="W74" s="24" t="s">
        <v>1544</v>
      </c>
      <c r="X74" s="24" t="s">
        <v>1546</v>
      </c>
      <c r="Y74" s="24" t="s">
        <v>1546</v>
      </c>
      <c r="Z74" s="24" t="s">
        <v>1544</v>
      </c>
      <c r="AA74" s="101"/>
      <c r="AB74" s="101"/>
    </row>
    <row r="75" spans="1:28" s="76" customFormat="1" ht="30.75" customHeight="1" x14ac:dyDescent="0.25">
      <c r="A75" s="20" t="s">
        <v>202</v>
      </c>
      <c r="B75" s="19" t="s">
        <v>39</v>
      </c>
      <c r="C75" s="15" t="s">
        <v>4</v>
      </c>
      <c r="D75" s="96" t="s">
        <v>381</v>
      </c>
      <c r="E75" s="96" t="s">
        <v>381</v>
      </c>
      <c r="F75" s="96" t="s">
        <v>381</v>
      </c>
      <c r="G75" s="96" t="s">
        <v>381</v>
      </c>
      <c r="H75" s="96" t="s">
        <v>381</v>
      </c>
      <c r="I75" s="96" t="s">
        <v>381</v>
      </c>
      <c r="J75" s="96" t="s">
        <v>381</v>
      </c>
      <c r="K75" s="96" t="s">
        <v>381</v>
      </c>
      <c r="L75" s="96" t="s">
        <v>381</v>
      </c>
      <c r="M75" s="96" t="s">
        <v>381</v>
      </c>
      <c r="N75" s="96" t="s">
        <v>381</v>
      </c>
      <c r="O75" s="96" t="s">
        <v>381</v>
      </c>
      <c r="P75" s="96" t="s">
        <v>381</v>
      </c>
      <c r="Q75" s="96" t="s">
        <v>381</v>
      </c>
      <c r="R75" s="96" t="s">
        <v>381</v>
      </c>
      <c r="S75" s="96" t="s">
        <v>381</v>
      </c>
      <c r="T75" s="96" t="s">
        <v>381</v>
      </c>
      <c r="U75" s="120"/>
      <c r="V75" s="96" t="s">
        <v>381</v>
      </c>
      <c r="W75" s="96" t="s">
        <v>381</v>
      </c>
      <c r="X75" s="96" t="s">
        <v>381</v>
      </c>
      <c r="Y75" s="96" t="s">
        <v>381</v>
      </c>
      <c r="Z75" s="96" t="s">
        <v>381</v>
      </c>
      <c r="AA75" s="80"/>
      <c r="AB75" s="80"/>
    </row>
    <row r="76" spans="1:28" s="76" customFormat="1" x14ac:dyDescent="0.25">
      <c r="A76" s="9" t="s">
        <v>203</v>
      </c>
      <c r="B76" s="15" t="s">
        <v>51</v>
      </c>
      <c r="C76" s="15" t="s">
        <v>38</v>
      </c>
      <c r="D76" s="94" t="s">
        <v>691</v>
      </c>
      <c r="E76" s="94" t="s">
        <v>692</v>
      </c>
      <c r="F76" s="94" t="s">
        <v>693</v>
      </c>
      <c r="G76" s="94" t="s">
        <v>694</v>
      </c>
      <c r="H76" s="94" t="s">
        <v>695</v>
      </c>
      <c r="I76" s="94" t="s">
        <v>696</v>
      </c>
      <c r="J76" s="94" t="s">
        <v>697</v>
      </c>
      <c r="K76" s="94" t="s">
        <v>698</v>
      </c>
      <c r="L76" s="94" t="s">
        <v>699</v>
      </c>
      <c r="M76" s="94" t="s">
        <v>700</v>
      </c>
      <c r="N76" s="94" t="s">
        <v>701</v>
      </c>
      <c r="O76" s="94" t="s">
        <v>702</v>
      </c>
      <c r="P76" s="94" t="s">
        <v>703</v>
      </c>
      <c r="Q76" s="94" t="s">
        <v>704</v>
      </c>
      <c r="R76" s="94" t="s">
        <v>705</v>
      </c>
      <c r="S76" s="94" t="s">
        <v>706</v>
      </c>
      <c r="T76" s="94" t="s">
        <v>707</v>
      </c>
      <c r="U76" s="118" t="s">
        <v>546</v>
      </c>
      <c r="V76" s="94" t="s">
        <v>708</v>
      </c>
      <c r="W76" s="94" t="s">
        <v>709</v>
      </c>
      <c r="X76" s="94" t="s">
        <v>710</v>
      </c>
      <c r="Y76" s="94" t="s">
        <v>711</v>
      </c>
      <c r="Z76" s="94" t="s">
        <v>547</v>
      </c>
      <c r="AA76" s="80" t="s">
        <v>712</v>
      </c>
      <c r="AB76" s="80" t="s">
        <v>713</v>
      </c>
    </row>
    <row r="77" spans="1:28" s="76" customFormat="1" ht="41.25" customHeight="1" x14ac:dyDescent="0.25">
      <c r="A77" s="19" t="s">
        <v>242</v>
      </c>
      <c r="B77" s="19" t="s">
        <v>550</v>
      </c>
      <c r="C77" s="15" t="s">
        <v>4</v>
      </c>
      <c r="D77" s="29" t="s">
        <v>382</v>
      </c>
      <c r="E77" s="29" t="s">
        <v>382</v>
      </c>
      <c r="F77" s="29" t="s">
        <v>382</v>
      </c>
      <c r="G77" s="29" t="s">
        <v>382</v>
      </c>
      <c r="H77" s="29" t="s">
        <v>382</v>
      </c>
      <c r="I77" s="29" t="s">
        <v>382</v>
      </c>
      <c r="J77" s="29" t="s">
        <v>382</v>
      </c>
      <c r="K77" s="29" t="s">
        <v>382</v>
      </c>
      <c r="L77" s="29" t="s">
        <v>382</v>
      </c>
      <c r="M77" s="29" t="s">
        <v>382</v>
      </c>
      <c r="N77" s="29" t="s">
        <v>382</v>
      </c>
      <c r="O77" s="29" t="s">
        <v>382</v>
      </c>
      <c r="P77" s="29" t="s">
        <v>382</v>
      </c>
      <c r="Q77" s="29" t="s">
        <v>382</v>
      </c>
      <c r="R77" s="29" t="s">
        <v>382</v>
      </c>
      <c r="S77" s="29" t="s">
        <v>382</v>
      </c>
      <c r="T77" s="29" t="s">
        <v>382</v>
      </c>
      <c r="U77" s="121"/>
      <c r="V77" s="29" t="s">
        <v>382</v>
      </c>
      <c r="W77" s="29" t="s">
        <v>382</v>
      </c>
      <c r="X77" s="29" t="s">
        <v>382</v>
      </c>
      <c r="Y77" s="29" t="s">
        <v>382</v>
      </c>
      <c r="Z77" s="29" t="s">
        <v>382</v>
      </c>
      <c r="AA77" s="80"/>
      <c r="AB77" s="80"/>
    </row>
    <row r="78" spans="1:28" s="76" customFormat="1" ht="25.5" x14ac:dyDescent="0.25">
      <c r="A78" s="15" t="s">
        <v>243</v>
      </c>
      <c r="B78" s="15" t="s">
        <v>53</v>
      </c>
      <c r="C78" s="15" t="s">
        <v>4</v>
      </c>
      <c r="D78" s="29" t="s">
        <v>356</v>
      </c>
      <c r="E78" s="29" t="s">
        <v>356</v>
      </c>
      <c r="F78" s="29" t="s">
        <v>356</v>
      </c>
      <c r="G78" s="29" t="s">
        <v>356</v>
      </c>
      <c r="H78" s="29" t="s">
        <v>356</v>
      </c>
      <c r="I78" s="29" t="s">
        <v>356</v>
      </c>
      <c r="J78" s="29" t="s">
        <v>356</v>
      </c>
      <c r="K78" s="29" t="s">
        <v>356</v>
      </c>
      <c r="L78" s="29" t="s">
        <v>356</v>
      </c>
      <c r="M78" s="29" t="s">
        <v>356</v>
      </c>
      <c r="N78" s="29" t="s">
        <v>356</v>
      </c>
      <c r="O78" s="29" t="s">
        <v>356</v>
      </c>
      <c r="P78" s="29" t="s">
        <v>356</v>
      </c>
      <c r="Q78" s="29" t="s">
        <v>356</v>
      </c>
      <c r="R78" s="29" t="s">
        <v>356</v>
      </c>
      <c r="S78" s="29" t="s">
        <v>356</v>
      </c>
      <c r="T78" s="29" t="s">
        <v>356</v>
      </c>
      <c r="U78" s="121"/>
      <c r="V78" s="29" t="s">
        <v>356</v>
      </c>
      <c r="W78" s="29" t="s">
        <v>356</v>
      </c>
      <c r="X78" s="29" t="s">
        <v>356</v>
      </c>
      <c r="Y78" s="29" t="s">
        <v>356</v>
      </c>
      <c r="Z78" s="29" t="s">
        <v>356</v>
      </c>
      <c r="AA78" s="80"/>
      <c r="AB78" s="80"/>
    </row>
    <row r="79" spans="1:28" s="76" customFormat="1" x14ac:dyDescent="0.25">
      <c r="A79" s="15" t="s">
        <v>244</v>
      </c>
      <c r="B79" s="15" t="s">
        <v>2</v>
      </c>
      <c r="C79" s="15" t="s">
        <v>4</v>
      </c>
      <c r="D79" s="94" t="s">
        <v>357</v>
      </c>
      <c r="E79" s="94" t="s">
        <v>357</v>
      </c>
      <c r="F79" s="94" t="s">
        <v>357</v>
      </c>
      <c r="G79" s="94" t="s">
        <v>357</v>
      </c>
      <c r="H79" s="94" t="s">
        <v>357</v>
      </c>
      <c r="I79" s="94" t="s">
        <v>357</v>
      </c>
      <c r="J79" s="94" t="s">
        <v>357</v>
      </c>
      <c r="K79" s="94" t="s">
        <v>357</v>
      </c>
      <c r="L79" s="94" t="s">
        <v>357</v>
      </c>
      <c r="M79" s="94" t="s">
        <v>357</v>
      </c>
      <c r="N79" s="94" t="s">
        <v>357</v>
      </c>
      <c r="O79" s="94" t="s">
        <v>357</v>
      </c>
      <c r="P79" s="94" t="s">
        <v>357</v>
      </c>
      <c r="Q79" s="94" t="s">
        <v>357</v>
      </c>
      <c r="R79" s="94" t="s">
        <v>357</v>
      </c>
      <c r="S79" s="94" t="s">
        <v>357</v>
      </c>
      <c r="T79" s="94" t="s">
        <v>357</v>
      </c>
      <c r="U79" s="118"/>
      <c r="V79" s="94" t="s">
        <v>357</v>
      </c>
      <c r="W79" s="94" t="s">
        <v>357</v>
      </c>
      <c r="X79" s="94" t="s">
        <v>357</v>
      </c>
      <c r="Y79" s="94" t="s">
        <v>357</v>
      </c>
      <c r="Z79" s="94" t="s">
        <v>357</v>
      </c>
      <c r="AA79" s="80"/>
      <c r="AB79" s="80"/>
    </row>
    <row r="80" spans="1:28" s="102" customFormat="1" x14ac:dyDescent="0.25">
      <c r="A80" s="15" t="s">
        <v>245</v>
      </c>
      <c r="B80" s="15" t="s">
        <v>54</v>
      </c>
      <c r="C80" s="15" t="s">
        <v>38</v>
      </c>
      <c r="D80" s="24" t="s">
        <v>1547</v>
      </c>
      <c r="E80" s="24" t="s">
        <v>1547</v>
      </c>
      <c r="F80" s="24" t="s">
        <v>1547</v>
      </c>
      <c r="G80" s="24" t="s">
        <v>1547</v>
      </c>
      <c r="H80" s="24" t="s">
        <v>1547</v>
      </c>
      <c r="I80" s="24" t="s">
        <v>1547</v>
      </c>
      <c r="J80" s="24" t="s">
        <v>1547</v>
      </c>
      <c r="K80" s="24" t="s">
        <v>1547</v>
      </c>
      <c r="L80" s="24" t="s">
        <v>1547</v>
      </c>
      <c r="M80" s="24" t="s">
        <v>1547</v>
      </c>
      <c r="N80" s="24" t="s">
        <v>1549</v>
      </c>
      <c r="O80" s="24" t="s">
        <v>1549</v>
      </c>
      <c r="P80" s="24" t="s">
        <v>1549</v>
      </c>
      <c r="Q80" s="24" t="s">
        <v>1549</v>
      </c>
      <c r="R80" s="24" t="s">
        <v>1549</v>
      </c>
      <c r="S80" s="24" t="s">
        <v>1547</v>
      </c>
      <c r="T80" s="24" t="s">
        <v>1547</v>
      </c>
      <c r="U80" s="122"/>
      <c r="V80" s="24" t="s">
        <v>1547</v>
      </c>
      <c r="W80" s="24" t="s">
        <v>1547</v>
      </c>
      <c r="X80" s="24" t="s">
        <v>1548</v>
      </c>
      <c r="Y80" s="24" t="s">
        <v>1548</v>
      </c>
      <c r="Z80" s="24" t="s">
        <v>1547</v>
      </c>
      <c r="AA80" s="101"/>
      <c r="AB80" s="101"/>
    </row>
    <row r="81" spans="1:28" s="76" customFormat="1" ht="25.5" x14ac:dyDescent="0.25">
      <c r="A81" s="20" t="s">
        <v>202</v>
      </c>
      <c r="B81" s="19" t="s">
        <v>39</v>
      </c>
      <c r="C81" s="15" t="s">
        <v>4</v>
      </c>
      <c r="D81" s="96" t="s">
        <v>374</v>
      </c>
      <c r="E81" s="96" t="s">
        <v>374</v>
      </c>
      <c r="F81" s="96" t="s">
        <v>374</v>
      </c>
      <c r="G81" s="96" t="s">
        <v>374</v>
      </c>
      <c r="H81" s="96" t="s">
        <v>374</v>
      </c>
      <c r="I81" s="96" t="s">
        <v>374</v>
      </c>
      <c r="J81" s="96" t="s">
        <v>374</v>
      </c>
      <c r="K81" s="96" t="s">
        <v>374</v>
      </c>
      <c r="L81" s="96" t="s">
        <v>374</v>
      </c>
      <c r="M81" s="96" t="s">
        <v>374</v>
      </c>
      <c r="N81" s="96" t="s">
        <v>374</v>
      </c>
      <c r="O81" s="96" t="s">
        <v>374</v>
      </c>
      <c r="P81" s="96" t="s">
        <v>374</v>
      </c>
      <c r="Q81" s="96" t="s">
        <v>374</v>
      </c>
      <c r="R81" s="96" t="s">
        <v>374</v>
      </c>
      <c r="S81" s="96" t="s">
        <v>374</v>
      </c>
      <c r="T81" s="96" t="s">
        <v>374</v>
      </c>
      <c r="U81" s="120"/>
      <c r="V81" s="96" t="s">
        <v>374</v>
      </c>
      <c r="W81" s="96" t="s">
        <v>374</v>
      </c>
      <c r="X81" s="96" t="s">
        <v>374</v>
      </c>
      <c r="Y81" s="96" t="s">
        <v>374</v>
      </c>
      <c r="Z81" s="96" t="s">
        <v>374</v>
      </c>
      <c r="AA81" s="80"/>
      <c r="AB81" s="80"/>
    </row>
    <row r="82" spans="1:28" s="76" customFormat="1" x14ac:dyDescent="0.25">
      <c r="A82" s="9" t="s">
        <v>203</v>
      </c>
      <c r="B82" s="15" t="s">
        <v>51</v>
      </c>
      <c r="C82" s="15" t="s">
        <v>38</v>
      </c>
      <c r="D82" s="94" t="s">
        <v>714</v>
      </c>
      <c r="E82" s="94" t="s">
        <v>715</v>
      </c>
      <c r="F82" s="94" t="s">
        <v>716</v>
      </c>
      <c r="G82" s="94" t="s">
        <v>717</v>
      </c>
      <c r="H82" s="94" t="s">
        <v>718</v>
      </c>
      <c r="I82" s="94" t="s">
        <v>719</v>
      </c>
      <c r="J82" s="94" t="s">
        <v>720</v>
      </c>
      <c r="K82" s="94" t="s">
        <v>721</v>
      </c>
      <c r="L82" s="94" t="s">
        <v>722</v>
      </c>
      <c r="M82" s="94" t="s">
        <v>723</v>
      </c>
      <c r="N82" s="94" t="s">
        <v>724</v>
      </c>
      <c r="O82" s="94" t="s">
        <v>717</v>
      </c>
      <c r="P82" s="94" t="s">
        <v>717</v>
      </c>
      <c r="Q82" s="94" t="s">
        <v>725</v>
      </c>
      <c r="R82" s="94" t="s">
        <v>726</v>
      </c>
      <c r="S82" s="94" t="s">
        <v>727</v>
      </c>
      <c r="T82" s="94" t="s">
        <v>728</v>
      </c>
      <c r="U82" s="118"/>
      <c r="V82" s="94" t="s">
        <v>729</v>
      </c>
      <c r="W82" s="94" t="s">
        <v>730</v>
      </c>
      <c r="X82" s="94" t="s">
        <v>731</v>
      </c>
      <c r="Y82" s="94" t="s">
        <v>732</v>
      </c>
      <c r="Z82" s="94" t="s">
        <v>733</v>
      </c>
      <c r="AA82" s="80" t="s">
        <v>734</v>
      </c>
      <c r="AB82" s="80" t="s">
        <v>735</v>
      </c>
    </row>
    <row r="83" spans="1:28" s="76" customFormat="1" ht="140.25" x14ac:dyDescent="0.25">
      <c r="A83" s="19" t="s">
        <v>246</v>
      </c>
      <c r="B83" s="19" t="s">
        <v>550</v>
      </c>
      <c r="C83" s="15" t="s">
        <v>4</v>
      </c>
      <c r="D83" s="29" t="s">
        <v>736</v>
      </c>
      <c r="E83" s="29" t="s">
        <v>736</v>
      </c>
      <c r="F83" s="29" t="s">
        <v>736</v>
      </c>
      <c r="G83" s="29" t="s">
        <v>736</v>
      </c>
      <c r="H83" s="29" t="s">
        <v>736</v>
      </c>
      <c r="I83" s="29" t="s">
        <v>736</v>
      </c>
      <c r="J83" s="29" t="s">
        <v>736</v>
      </c>
      <c r="K83" s="29" t="s">
        <v>736</v>
      </c>
      <c r="L83" s="29" t="s">
        <v>736</v>
      </c>
      <c r="M83" s="29" t="s">
        <v>736</v>
      </c>
      <c r="N83" s="29" t="s">
        <v>736</v>
      </c>
      <c r="O83" s="29" t="s">
        <v>736</v>
      </c>
      <c r="P83" s="29" t="s">
        <v>736</v>
      </c>
      <c r="Q83" s="29" t="s">
        <v>736</v>
      </c>
      <c r="R83" s="29" t="s">
        <v>736</v>
      </c>
      <c r="S83" s="29" t="s">
        <v>736</v>
      </c>
      <c r="T83" s="29" t="s">
        <v>736</v>
      </c>
      <c r="U83" s="121"/>
      <c r="V83" s="29" t="s">
        <v>736</v>
      </c>
      <c r="W83" s="29" t="s">
        <v>736</v>
      </c>
      <c r="X83" s="29" t="s">
        <v>736</v>
      </c>
      <c r="Y83" s="29" t="s">
        <v>736</v>
      </c>
      <c r="Z83" s="29" t="s">
        <v>736</v>
      </c>
      <c r="AA83" s="80"/>
      <c r="AB83" s="80"/>
    </row>
    <row r="84" spans="1:28" s="76" customFormat="1" ht="25.5" x14ac:dyDescent="0.25">
      <c r="A84" s="15" t="s">
        <v>247</v>
      </c>
      <c r="B84" s="15" t="s">
        <v>53</v>
      </c>
      <c r="C84" s="15" t="s">
        <v>4</v>
      </c>
      <c r="D84" s="29" t="s">
        <v>376</v>
      </c>
      <c r="E84" s="29" t="s">
        <v>376</v>
      </c>
      <c r="F84" s="29" t="s">
        <v>376</v>
      </c>
      <c r="G84" s="29" t="s">
        <v>376</v>
      </c>
      <c r="H84" s="29" t="s">
        <v>376</v>
      </c>
      <c r="I84" s="29" t="s">
        <v>376</v>
      </c>
      <c r="J84" s="29" t="s">
        <v>376</v>
      </c>
      <c r="K84" s="29" t="s">
        <v>376</v>
      </c>
      <c r="L84" s="29" t="s">
        <v>376</v>
      </c>
      <c r="M84" s="29" t="s">
        <v>376</v>
      </c>
      <c r="N84" s="29" t="s">
        <v>376</v>
      </c>
      <c r="O84" s="29" t="s">
        <v>376</v>
      </c>
      <c r="P84" s="29" t="s">
        <v>376</v>
      </c>
      <c r="Q84" s="29" t="s">
        <v>376</v>
      </c>
      <c r="R84" s="29" t="s">
        <v>376</v>
      </c>
      <c r="S84" s="29" t="s">
        <v>376</v>
      </c>
      <c r="T84" s="29" t="s">
        <v>376</v>
      </c>
      <c r="U84" s="121"/>
      <c r="V84" s="29" t="s">
        <v>376</v>
      </c>
      <c r="W84" s="29" t="s">
        <v>376</v>
      </c>
      <c r="X84" s="29" t="s">
        <v>376</v>
      </c>
      <c r="Y84" s="29" t="s">
        <v>376</v>
      </c>
      <c r="Z84" s="29" t="s">
        <v>376</v>
      </c>
      <c r="AA84" s="80"/>
      <c r="AB84" s="80"/>
    </row>
    <row r="85" spans="1:28" s="76" customFormat="1" x14ac:dyDescent="0.25">
      <c r="A85" s="15" t="s">
        <v>248</v>
      </c>
      <c r="B85" s="15" t="s">
        <v>2</v>
      </c>
      <c r="C85" s="15" t="s">
        <v>4</v>
      </c>
      <c r="D85" s="94" t="s">
        <v>357</v>
      </c>
      <c r="E85" s="94" t="s">
        <v>357</v>
      </c>
      <c r="F85" s="94" t="s">
        <v>357</v>
      </c>
      <c r="G85" s="94" t="s">
        <v>357</v>
      </c>
      <c r="H85" s="94" t="s">
        <v>357</v>
      </c>
      <c r="I85" s="94" t="s">
        <v>357</v>
      </c>
      <c r="J85" s="94" t="s">
        <v>357</v>
      </c>
      <c r="K85" s="94" t="s">
        <v>357</v>
      </c>
      <c r="L85" s="94" t="s">
        <v>357</v>
      </c>
      <c r="M85" s="94" t="s">
        <v>357</v>
      </c>
      <c r="N85" s="94" t="s">
        <v>357</v>
      </c>
      <c r="O85" s="94" t="s">
        <v>357</v>
      </c>
      <c r="P85" s="94" t="s">
        <v>357</v>
      </c>
      <c r="Q85" s="94" t="s">
        <v>357</v>
      </c>
      <c r="R85" s="94" t="s">
        <v>357</v>
      </c>
      <c r="S85" s="94" t="s">
        <v>357</v>
      </c>
      <c r="T85" s="94" t="s">
        <v>357</v>
      </c>
      <c r="U85" s="118"/>
      <c r="V85" s="94" t="s">
        <v>357</v>
      </c>
      <c r="W85" s="94" t="s">
        <v>357</v>
      </c>
      <c r="X85" s="94" t="s">
        <v>357</v>
      </c>
      <c r="Y85" s="94" t="s">
        <v>357</v>
      </c>
      <c r="Z85" s="94" t="s">
        <v>357</v>
      </c>
      <c r="AA85" s="80"/>
      <c r="AB85" s="80"/>
    </row>
    <row r="86" spans="1:28" s="102" customFormat="1" x14ac:dyDescent="0.25">
      <c r="A86" s="15" t="s">
        <v>249</v>
      </c>
      <c r="B86" s="15" t="s">
        <v>54</v>
      </c>
      <c r="C86" s="15" t="s">
        <v>38</v>
      </c>
      <c r="D86" s="24" t="s">
        <v>1550</v>
      </c>
      <c r="E86" s="24" t="s">
        <v>1550</v>
      </c>
      <c r="F86" s="24" t="s">
        <v>1550</v>
      </c>
      <c r="G86" s="24" t="s">
        <v>1550</v>
      </c>
      <c r="H86" s="24" t="s">
        <v>1550</v>
      </c>
      <c r="I86" s="24" t="s">
        <v>1550</v>
      </c>
      <c r="J86" s="24" t="s">
        <v>1550</v>
      </c>
      <c r="K86" s="24" t="s">
        <v>1550</v>
      </c>
      <c r="L86" s="24" t="s">
        <v>1550</v>
      </c>
      <c r="M86" s="24" t="s">
        <v>1550</v>
      </c>
      <c r="N86" s="24" t="s">
        <v>1551</v>
      </c>
      <c r="O86" s="24" t="s">
        <v>1551</v>
      </c>
      <c r="P86" s="24" t="s">
        <v>1551</v>
      </c>
      <c r="Q86" s="24" t="s">
        <v>1551</v>
      </c>
      <c r="R86" s="24" t="s">
        <v>1551</v>
      </c>
      <c r="S86" s="24" t="s">
        <v>1550</v>
      </c>
      <c r="T86" s="24" t="s">
        <v>1550</v>
      </c>
      <c r="U86" s="122" t="s">
        <v>1550</v>
      </c>
      <c r="V86" s="24" t="s">
        <v>1550</v>
      </c>
      <c r="W86" s="24" t="s">
        <v>1550</v>
      </c>
      <c r="X86" s="24" t="s">
        <v>1552</v>
      </c>
      <c r="Y86" s="24" t="s">
        <v>1552</v>
      </c>
      <c r="Z86" s="24" t="s">
        <v>1550</v>
      </c>
      <c r="AA86" s="101"/>
      <c r="AB86" s="101"/>
    </row>
    <row r="87" spans="1:28" s="76" customFormat="1" ht="25.5" x14ac:dyDescent="0.25">
      <c r="A87" s="20" t="s">
        <v>202</v>
      </c>
      <c r="B87" s="19" t="s">
        <v>39</v>
      </c>
      <c r="C87" s="15" t="s">
        <v>4</v>
      </c>
      <c r="D87" s="96" t="s">
        <v>383</v>
      </c>
      <c r="E87" s="96" t="s">
        <v>383</v>
      </c>
      <c r="F87" s="96" t="s">
        <v>383</v>
      </c>
      <c r="G87" s="96" t="s">
        <v>383</v>
      </c>
      <c r="H87" s="96" t="s">
        <v>383</v>
      </c>
      <c r="I87" s="96" t="s">
        <v>383</v>
      </c>
      <c r="J87" s="96" t="s">
        <v>383</v>
      </c>
      <c r="K87" s="96" t="s">
        <v>383</v>
      </c>
      <c r="L87" s="96" t="s">
        <v>383</v>
      </c>
      <c r="M87" s="96" t="s">
        <v>383</v>
      </c>
      <c r="N87" s="96" t="s">
        <v>383</v>
      </c>
      <c r="O87" s="96" t="s">
        <v>383</v>
      </c>
      <c r="P87" s="96" t="s">
        <v>383</v>
      </c>
      <c r="Q87" s="96" t="s">
        <v>383</v>
      </c>
      <c r="R87" s="96" t="s">
        <v>383</v>
      </c>
      <c r="S87" s="96" t="s">
        <v>383</v>
      </c>
      <c r="T87" s="96" t="s">
        <v>383</v>
      </c>
      <c r="U87" s="120"/>
      <c r="V87" s="96" t="s">
        <v>383</v>
      </c>
      <c r="W87" s="96" t="s">
        <v>383</v>
      </c>
      <c r="X87" s="96" t="s">
        <v>383</v>
      </c>
      <c r="Y87" s="96" t="s">
        <v>383</v>
      </c>
      <c r="Z87" s="96" t="s">
        <v>383</v>
      </c>
      <c r="AA87" s="80"/>
      <c r="AB87" s="80"/>
    </row>
    <row r="88" spans="1:28" s="76" customFormat="1" x14ac:dyDescent="0.25">
      <c r="A88" s="9" t="s">
        <v>203</v>
      </c>
      <c r="B88" s="15" t="s">
        <v>51</v>
      </c>
      <c r="C88" s="15" t="s">
        <v>38</v>
      </c>
      <c r="D88" s="94" t="s">
        <v>737</v>
      </c>
      <c r="E88" s="94" t="s">
        <v>738</v>
      </c>
      <c r="F88" s="94" t="s">
        <v>737</v>
      </c>
      <c r="G88" s="94" t="s">
        <v>739</v>
      </c>
      <c r="H88" s="94" t="s">
        <v>740</v>
      </c>
      <c r="I88" s="94" t="s">
        <v>741</v>
      </c>
      <c r="J88" s="94" t="s">
        <v>742</v>
      </c>
      <c r="K88" s="94" t="s">
        <v>743</v>
      </c>
      <c r="L88" s="94" t="s">
        <v>744</v>
      </c>
      <c r="M88" s="94" t="s">
        <v>745</v>
      </c>
      <c r="N88" s="94" t="s">
        <v>746</v>
      </c>
      <c r="O88" s="94" t="s">
        <v>739</v>
      </c>
      <c r="P88" s="94" t="s">
        <v>739</v>
      </c>
      <c r="Q88" s="94" t="s">
        <v>739</v>
      </c>
      <c r="R88" s="94" t="s">
        <v>747</v>
      </c>
      <c r="S88" s="94" t="s">
        <v>739</v>
      </c>
      <c r="T88" s="94" t="s">
        <v>739</v>
      </c>
      <c r="U88" s="118"/>
      <c r="V88" s="94" t="s">
        <v>748</v>
      </c>
      <c r="W88" s="94" t="s">
        <v>749</v>
      </c>
      <c r="X88" s="94" t="s">
        <v>748</v>
      </c>
      <c r="Y88" s="94" t="s">
        <v>750</v>
      </c>
      <c r="Z88" s="94" t="s">
        <v>751</v>
      </c>
      <c r="AA88" s="80" t="s">
        <v>752</v>
      </c>
      <c r="AB88" s="80" t="s">
        <v>753</v>
      </c>
    </row>
    <row r="89" spans="1:28" s="76" customFormat="1" ht="41.25" customHeight="1" x14ac:dyDescent="0.25">
      <c r="A89" s="19" t="s">
        <v>250</v>
      </c>
      <c r="B89" s="19" t="s">
        <v>550</v>
      </c>
      <c r="C89" s="15" t="s">
        <v>4</v>
      </c>
      <c r="D89" s="29" t="s">
        <v>383</v>
      </c>
      <c r="E89" s="29" t="s">
        <v>383</v>
      </c>
      <c r="F89" s="29" t="s">
        <v>383</v>
      </c>
      <c r="G89" s="29" t="s">
        <v>383</v>
      </c>
      <c r="H89" s="29" t="s">
        <v>383</v>
      </c>
      <c r="I89" s="29" t="s">
        <v>383</v>
      </c>
      <c r="J89" s="29" t="s">
        <v>383</v>
      </c>
      <c r="K89" s="29" t="s">
        <v>383</v>
      </c>
      <c r="L89" s="29" t="s">
        <v>383</v>
      </c>
      <c r="M89" s="29" t="s">
        <v>383</v>
      </c>
      <c r="N89" s="29" t="s">
        <v>383</v>
      </c>
      <c r="O89" s="29" t="s">
        <v>383</v>
      </c>
      <c r="P89" s="29" t="s">
        <v>383</v>
      </c>
      <c r="Q89" s="29" t="s">
        <v>383</v>
      </c>
      <c r="R89" s="29" t="s">
        <v>383</v>
      </c>
      <c r="S89" s="29" t="s">
        <v>383</v>
      </c>
      <c r="T89" s="29" t="s">
        <v>383</v>
      </c>
      <c r="U89" s="121"/>
      <c r="V89" s="29" t="s">
        <v>383</v>
      </c>
      <c r="W89" s="29" t="s">
        <v>383</v>
      </c>
      <c r="X89" s="29" t="s">
        <v>383</v>
      </c>
      <c r="Y89" s="29" t="s">
        <v>383</v>
      </c>
      <c r="Z89" s="29" t="s">
        <v>383</v>
      </c>
      <c r="AA89" s="80"/>
      <c r="AB89" s="80"/>
    </row>
    <row r="90" spans="1:28" s="76" customFormat="1" ht="25.5" x14ac:dyDescent="0.25">
      <c r="A90" s="15" t="s">
        <v>251</v>
      </c>
      <c r="B90" s="15" t="s">
        <v>53</v>
      </c>
      <c r="C90" s="15" t="s">
        <v>4</v>
      </c>
      <c r="D90" s="29" t="s">
        <v>373</v>
      </c>
      <c r="E90" s="29" t="s">
        <v>373</v>
      </c>
      <c r="F90" s="29" t="s">
        <v>373</v>
      </c>
      <c r="G90" s="29" t="s">
        <v>373</v>
      </c>
      <c r="H90" s="29" t="s">
        <v>373</v>
      </c>
      <c r="I90" s="29" t="s">
        <v>373</v>
      </c>
      <c r="J90" s="29" t="s">
        <v>373</v>
      </c>
      <c r="K90" s="29" t="s">
        <v>373</v>
      </c>
      <c r="L90" s="29" t="s">
        <v>373</v>
      </c>
      <c r="M90" s="29" t="s">
        <v>373</v>
      </c>
      <c r="N90" s="29" t="s">
        <v>373</v>
      </c>
      <c r="O90" s="29" t="s">
        <v>373</v>
      </c>
      <c r="P90" s="29" t="s">
        <v>373</v>
      </c>
      <c r="Q90" s="29" t="s">
        <v>373</v>
      </c>
      <c r="R90" s="29" t="s">
        <v>373</v>
      </c>
      <c r="S90" s="29" t="s">
        <v>373</v>
      </c>
      <c r="T90" s="29" t="s">
        <v>373</v>
      </c>
      <c r="U90" s="121"/>
      <c r="V90" s="29" t="s">
        <v>373</v>
      </c>
      <c r="W90" s="29" t="s">
        <v>373</v>
      </c>
      <c r="X90" s="29" t="s">
        <v>373</v>
      </c>
      <c r="Y90" s="29" t="s">
        <v>373</v>
      </c>
      <c r="Z90" s="29" t="s">
        <v>373</v>
      </c>
      <c r="AA90" s="80"/>
      <c r="AB90" s="80"/>
    </row>
    <row r="91" spans="1:28" s="76" customFormat="1" x14ac:dyDescent="0.25">
      <c r="A91" s="15" t="s">
        <v>252</v>
      </c>
      <c r="B91" s="15" t="s">
        <v>2</v>
      </c>
      <c r="C91" s="15" t="s">
        <v>4</v>
      </c>
      <c r="D91" s="94" t="s">
        <v>357</v>
      </c>
      <c r="E91" s="94" t="s">
        <v>357</v>
      </c>
      <c r="F91" s="94" t="s">
        <v>357</v>
      </c>
      <c r="G91" s="94" t="s">
        <v>357</v>
      </c>
      <c r="H91" s="94" t="s">
        <v>357</v>
      </c>
      <c r="I91" s="94" t="s">
        <v>357</v>
      </c>
      <c r="J91" s="94" t="s">
        <v>357</v>
      </c>
      <c r="K91" s="94" t="s">
        <v>357</v>
      </c>
      <c r="L91" s="94" t="s">
        <v>357</v>
      </c>
      <c r="M91" s="94" t="s">
        <v>357</v>
      </c>
      <c r="N91" s="94" t="s">
        <v>357</v>
      </c>
      <c r="O91" s="94" t="s">
        <v>357</v>
      </c>
      <c r="P91" s="94" t="s">
        <v>357</v>
      </c>
      <c r="Q91" s="94" t="s">
        <v>357</v>
      </c>
      <c r="R91" s="94" t="s">
        <v>357</v>
      </c>
      <c r="S91" s="94" t="s">
        <v>357</v>
      </c>
      <c r="T91" s="94" t="s">
        <v>357</v>
      </c>
      <c r="U91" s="118"/>
      <c r="V91" s="94" t="s">
        <v>357</v>
      </c>
      <c r="W91" s="94" t="s">
        <v>357</v>
      </c>
      <c r="X91" s="94" t="s">
        <v>357</v>
      </c>
      <c r="Y91" s="94" t="s">
        <v>357</v>
      </c>
      <c r="Z91" s="94" t="s">
        <v>357</v>
      </c>
      <c r="AA91" s="80"/>
      <c r="AB91" s="80"/>
    </row>
    <row r="92" spans="1:28" s="102" customFormat="1" x14ac:dyDescent="0.25">
      <c r="A92" s="15" t="s">
        <v>253</v>
      </c>
      <c r="B92" s="15" t="s">
        <v>54</v>
      </c>
      <c r="C92" s="15" t="s">
        <v>38</v>
      </c>
      <c r="D92" s="24" t="s">
        <v>1553</v>
      </c>
      <c r="E92" s="24" t="s">
        <v>1553</v>
      </c>
      <c r="F92" s="24" t="s">
        <v>1553</v>
      </c>
      <c r="G92" s="24" t="s">
        <v>1553</v>
      </c>
      <c r="H92" s="24" t="s">
        <v>1553</v>
      </c>
      <c r="I92" s="24" t="s">
        <v>1553</v>
      </c>
      <c r="J92" s="24" t="s">
        <v>1553</v>
      </c>
      <c r="K92" s="24" t="s">
        <v>1553</v>
      </c>
      <c r="L92" s="24" t="s">
        <v>1553</v>
      </c>
      <c r="M92" s="24" t="s">
        <v>1553</v>
      </c>
      <c r="N92" s="24" t="s">
        <v>1554</v>
      </c>
      <c r="O92" s="24" t="s">
        <v>1554</v>
      </c>
      <c r="P92" s="24" t="s">
        <v>1554</v>
      </c>
      <c r="Q92" s="24" t="s">
        <v>1554</v>
      </c>
      <c r="R92" s="24" t="s">
        <v>1554</v>
      </c>
      <c r="S92" s="24" t="s">
        <v>1553</v>
      </c>
      <c r="T92" s="24" t="s">
        <v>1553</v>
      </c>
      <c r="U92" s="122" t="s">
        <v>1553</v>
      </c>
      <c r="V92" s="24" t="s">
        <v>1553</v>
      </c>
      <c r="W92" s="24" t="s">
        <v>1553</v>
      </c>
      <c r="X92" s="24" t="s">
        <v>1555</v>
      </c>
      <c r="Y92" s="24" t="s">
        <v>754</v>
      </c>
      <c r="Z92" s="24" t="s">
        <v>1553</v>
      </c>
      <c r="AA92" s="101"/>
      <c r="AB92" s="101"/>
    </row>
    <row r="93" spans="1:28" s="76" customFormat="1" x14ac:dyDescent="0.25">
      <c r="A93" s="20" t="s">
        <v>202</v>
      </c>
      <c r="B93" s="19" t="s">
        <v>39</v>
      </c>
      <c r="C93" s="15" t="s">
        <v>4</v>
      </c>
      <c r="D93" s="96" t="s">
        <v>377</v>
      </c>
      <c r="E93" s="96" t="s">
        <v>377</v>
      </c>
      <c r="F93" s="96" t="s">
        <v>377</v>
      </c>
      <c r="G93" s="96" t="s">
        <v>377</v>
      </c>
      <c r="H93" s="96" t="s">
        <v>377</v>
      </c>
      <c r="I93" s="96" t="s">
        <v>377</v>
      </c>
      <c r="J93" s="96" t="s">
        <v>377</v>
      </c>
      <c r="K93" s="96" t="s">
        <v>377</v>
      </c>
      <c r="L93" s="96" t="s">
        <v>377</v>
      </c>
      <c r="M93" s="96" t="s">
        <v>377</v>
      </c>
      <c r="N93" s="96" t="s">
        <v>377</v>
      </c>
      <c r="O93" s="96" t="s">
        <v>377</v>
      </c>
      <c r="P93" s="96" t="s">
        <v>377</v>
      </c>
      <c r="Q93" s="96" t="s">
        <v>377</v>
      </c>
      <c r="R93" s="96" t="s">
        <v>377</v>
      </c>
      <c r="S93" s="96" t="s">
        <v>377</v>
      </c>
      <c r="T93" s="96" t="s">
        <v>377</v>
      </c>
      <c r="U93" s="120"/>
      <c r="V93" s="96" t="s">
        <v>377</v>
      </c>
      <c r="W93" s="96" t="s">
        <v>377</v>
      </c>
      <c r="X93" s="96" t="s">
        <v>377</v>
      </c>
      <c r="Y93" s="96" t="s">
        <v>377</v>
      </c>
      <c r="Z93" s="96" t="s">
        <v>377</v>
      </c>
      <c r="AA93" s="80"/>
      <c r="AB93" s="80"/>
    </row>
    <row r="94" spans="1:28" s="76" customFormat="1" x14ac:dyDescent="0.25">
      <c r="A94" s="9" t="s">
        <v>203</v>
      </c>
      <c r="B94" s="15" t="s">
        <v>51</v>
      </c>
      <c r="C94" s="15" t="s">
        <v>38</v>
      </c>
      <c r="D94" s="94" t="s">
        <v>755</v>
      </c>
      <c r="E94" s="94" t="s">
        <v>1556</v>
      </c>
      <c r="F94" s="94" t="s">
        <v>1557</v>
      </c>
      <c r="G94" s="94" t="s">
        <v>1558</v>
      </c>
      <c r="H94" s="94" t="s">
        <v>1559</v>
      </c>
      <c r="I94" s="94" t="s">
        <v>1560</v>
      </c>
      <c r="J94" s="94"/>
      <c r="K94" s="94" t="s">
        <v>1561</v>
      </c>
      <c r="L94" s="94" t="s">
        <v>1562</v>
      </c>
      <c r="M94" s="94"/>
      <c r="N94" s="94" t="s">
        <v>1563</v>
      </c>
      <c r="O94" s="94" t="s">
        <v>1564</v>
      </c>
      <c r="P94" s="94" t="s">
        <v>1564</v>
      </c>
      <c r="Q94" s="94" t="s">
        <v>1564</v>
      </c>
      <c r="R94" s="94" t="s">
        <v>1565</v>
      </c>
      <c r="S94" s="94" t="s">
        <v>1560</v>
      </c>
      <c r="T94" s="94" t="s">
        <v>1560</v>
      </c>
      <c r="U94" s="118"/>
      <c r="V94" s="94" t="s">
        <v>1565</v>
      </c>
      <c r="W94" s="94"/>
      <c r="X94" s="94" t="s">
        <v>1566</v>
      </c>
      <c r="Y94" s="94" t="s">
        <v>1567</v>
      </c>
      <c r="Z94" s="94"/>
      <c r="AA94" s="80" t="s">
        <v>756</v>
      </c>
      <c r="AB94" s="80" t="s">
        <v>757</v>
      </c>
    </row>
    <row r="95" spans="1:28" s="76" customFormat="1" ht="51" x14ac:dyDescent="0.25">
      <c r="A95" s="19" t="s">
        <v>254</v>
      </c>
      <c r="B95" s="19" t="s">
        <v>550</v>
      </c>
      <c r="C95" s="15" t="s">
        <v>4</v>
      </c>
      <c r="D95" s="29" t="s">
        <v>758</v>
      </c>
      <c r="E95" s="29" t="s">
        <v>758</v>
      </c>
      <c r="F95" s="29" t="s">
        <v>758</v>
      </c>
      <c r="G95" s="29" t="s">
        <v>758</v>
      </c>
      <c r="H95" s="29" t="s">
        <v>758</v>
      </c>
      <c r="I95" s="29" t="s">
        <v>758</v>
      </c>
      <c r="J95" s="29" t="s">
        <v>758</v>
      </c>
      <c r="K95" s="29" t="s">
        <v>758</v>
      </c>
      <c r="L95" s="29" t="s">
        <v>758</v>
      </c>
      <c r="M95" s="29" t="s">
        <v>758</v>
      </c>
      <c r="N95" s="29" t="s">
        <v>758</v>
      </c>
      <c r="O95" s="29" t="s">
        <v>758</v>
      </c>
      <c r="P95" s="29" t="s">
        <v>758</v>
      </c>
      <c r="Q95" s="29" t="s">
        <v>758</v>
      </c>
      <c r="R95" s="29" t="s">
        <v>758</v>
      </c>
      <c r="S95" s="29" t="s">
        <v>758</v>
      </c>
      <c r="T95" s="29" t="s">
        <v>758</v>
      </c>
      <c r="U95" s="121"/>
      <c r="V95" s="29" t="s">
        <v>758</v>
      </c>
      <c r="W95" s="29" t="s">
        <v>758</v>
      </c>
      <c r="X95" s="29" t="s">
        <v>758</v>
      </c>
      <c r="Y95" s="29" t="s">
        <v>758</v>
      </c>
      <c r="Z95" s="29" t="s">
        <v>758</v>
      </c>
      <c r="AA95" s="80"/>
      <c r="AB95" s="80"/>
    </row>
    <row r="96" spans="1:28" s="76" customFormat="1" ht="25.5" x14ac:dyDescent="0.25">
      <c r="A96" s="15" t="s">
        <v>255</v>
      </c>
      <c r="B96" s="15" t="s">
        <v>53</v>
      </c>
      <c r="C96" s="15" t="s">
        <v>4</v>
      </c>
      <c r="D96" s="29" t="s">
        <v>379</v>
      </c>
      <c r="E96" s="29" t="s">
        <v>379</v>
      </c>
      <c r="F96" s="29" t="s">
        <v>379</v>
      </c>
      <c r="G96" s="29" t="s">
        <v>379</v>
      </c>
      <c r="H96" s="29" t="s">
        <v>379</v>
      </c>
      <c r="I96" s="29" t="s">
        <v>379</v>
      </c>
      <c r="J96" s="29" t="s">
        <v>379</v>
      </c>
      <c r="K96" s="29" t="s">
        <v>379</v>
      </c>
      <c r="L96" s="29" t="s">
        <v>379</v>
      </c>
      <c r="M96" s="29" t="s">
        <v>379</v>
      </c>
      <c r="N96" s="29" t="s">
        <v>379</v>
      </c>
      <c r="O96" s="29" t="s">
        <v>379</v>
      </c>
      <c r="P96" s="29" t="s">
        <v>379</v>
      </c>
      <c r="Q96" s="29" t="s">
        <v>379</v>
      </c>
      <c r="R96" s="29" t="s">
        <v>379</v>
      </c>
      <c r="S96" s="29" t="s">
        <v>379</v>
      </c>
      <c r="T96" s="29" t="s">
        <v>379</v>
      </c>
      <c r="U96" s="121"/>
      <c r="V96" s="29" t="s">
        <v>379</v>
      </c>
      <c r="W96" s="29" t="s">
        <v>379</v>
      </c>
      <c r="X96" s="29" t="s">
        <v>379</v>
      </c>
      <c r="Y96" s="29" t="s">
        <v>379</v>
      </c>
      <c r="Z96" s="29" t="s">
        <v>379</v>
      </c>
      <c r="AA96" s="80"/>
      <c r="AB96" s="80"/>
    </row>
    <row r="97" spans="1:28" s="76" customFormat="1" x14ac:dyDescent="0.25">
      <c r="A97" s="15" t="s">
        <v>256</v>
      </c>
      <c r="B97" s="15" t="s">
        <v>2</v>
      </c>
      <c r="C97" s="15" t="s">
        <v>4</v>
      </c>
      <c r="D97" s="94" t="s">
        <v>380</v>
      </c>
      <c r="E97" s="94" t="s">
        <v>380</v>
      </c>
      <c r="F97" s="94" t="s">
        <v>380</v>
      </c>
      <c r="G97" s="94" t="s">
        <v>380</v>
      </c>
      <c r="H97" s="94" t="s">
        <v>380</v>
      </c>
      <c r="I97" s="94" t="s">
        <v>380</v>
      </c>
      <c r="J97" s="94" t="s">
        <v>380</v>
      </c>
      <c r="K97" s="94" t="s">
        <v>380</v>
      </c>
      <c r="L97" s="94" t="s">
        <v>380</v>
      </c>
      <c r="M97" s="94" t="s">
        <v>380</v>
      </c>
      <c r="N97" s="94" t="s">
        <v>380</v>
      </c>
      <c r="O97" s="94" t="s">
        <v>380</v>
      </c>
      <c r="P97" s="94" t="s">
        <v>380</v>
      </c>
      <c r="Q97" s="94" t="s">
        <v>380</v>
      </c>
      <c r="R97" s="94" t="s">
        <v>380</v>
      </c>
      <c r="S97" s="94" t="s">
        <v>380</v>
      </c>
      <c r="T97" s="94" t="s">
        <v>380</v>
      </c>
      <c r="U97" s="118"/>
      <c r="V97" s="94" t="s">
        <v>380</v>
      </c>
      <c r="W97" s="94" t="s">
        <v>380</v>
      </c>
      <c r="X97" s="94" t="s">
        <v>380</v>
      </c>
      <c r="Y97" s="94" t="s">
        <v>380</v>
      </c>
      <c r="Z97" s="94" t="s">
        <v>380</v>
      </c>
      <c r="AA97" s="80"/>
      <c r="AB97" s="80"/>
    </row>
    <row r="98" spans="1:28" s="102" customFormat="1" x14ac:dyDescent="0.25">
      <c r="A98" s="15" t="s">
        <v>257</v>
      </c>
      <c r="B98" s="15" t="s">
        <v>54</v>
      </c>
      <c r="C98" s="15" t="s">
        <v>38</v>
      </c>
      <c r="D98" s="24" t="s">
        <v>1568</v>
      </c>
      <c r="E98" s="24" t="s">
        <v>1568</v>
      </c>
      <c r="F98" s="24" t="s">
        <v>1568</v>
      </c>
      <c r="G98" s="24" t="s">
        <v>1568</v>
      </c>
      <c r="H98" s="24" t="s">
        <v>1568</v>
      </c>
      <c r="I98" s="24" t="s">
        <v>1568</v>
      </c>
      <c r="J98" s="24" t="s">
        <v>1568</v>
      </c>
      <c r="K98" s="24" t="s">
        <v>1568</v>
      </c>
      <c r="L98" s="24" t="s">
        <v>1568</v>
      </c>
      <c r="M98" s="24" t="s">
        <v>1568</v>
      </c>
      <c r="N98" s="24" t="s">
        <v>1568</v>
      </c>
      <c r="O98" s="24" t="s">
        <v>1568</v>
      </c>
      <c r="P98" s="24" t="s">
        <v>1568</v>
      </c>
      <c r="Q98" s="24" t="s">
        <v>1568</v>
      </c>
      <c r="R98" s="24" t="s">
        <v>1568</v>
      </c>
      <c r="S98" s="24" t="s">
        <v>1568</v>
      </c>
      <c r="T98" s="24" t="s">
        <v>1568</v>
      </c>
      <c r="U98" s="122"/>
      <c r="V98" s="24" t="s">
        <v>1568</v>
      </c>
      <c r="W98" s="24" t="s">
        <v>1568</v>
      </c>
      <c r="X98" s="24" t="s">
        <v>1568</v>
      </c>
      <c r="Y98" s="24" t="s">
        <v>1568</v>
      </c>
      <c r="Z98" s="24" t="s">
        <v>1568</v>
      </c>
      <c r="AA98" s="101"/>
      <c r="AB98" s="101"/>
    </row>
    <row r="99" spans="1:28" s="76" customFormat="1" x14ac:dyDescent="0.25">
      <c r="A99" s="20" t="s">
        <v>202</v>
      </c>
      <c r="B99" s="19" t="s">
        <v>39</v>
      </c>
      <c r="C99" s="15" t="s">
        <v>4</v>
      </c>
      <c r="D99" s="96" t="s">
        <v>384</v>
      </c>
      <c r="E99" s="96" t="s">
        <v>384</v>
      </c>
      <c r="F99" s="96" t="s">
        <v>384</v>
      </c>
      <c r="G99" s="96" t="s">
        <v>384</v>
      </c>
      <c r="H99" s="96" t="s">
        <v>384</v>
      </c>
      <c r="I99" s="96" t="s">
        <v>384</v>
      </c>
      <c r="J99" s="96" t="s">
        <v>384</v>
      </c>
      <c r="K99" s="96" t="s">
        <v>384</v>
      </c>
      <c r="L99" s="96" t="s">
        <v>384</v>
      </c>
      <c r="M99" s="96" t="s">
        <v>384</v>
      </c>
      <c r="N99" s="96" t="s">
        <v>384</v>
      </c>
      <c r="O99" s="96" t="s">
        <v>384</v>
      </c>
      <c r="P99" s="96" t="s">
        <v>384</v>
      </c>
      <c r="Q99" s="96" t="s">
        <v>384</v>
      </c>
      <c r="R99" s="96" t="s">
        <v>384</v>
      </c>
      <c r="S99" s="96" t="s">
        <v>384</v>
      </c>
      <c r="T99" s="96" t="s">
        <v>384</v>
      </c>
      <c r="U99" s="120"/>
      <c r="V99" s="96" t="s">
        <v>384</v>
      </c>
      <c r="W99" s="96" t="s">
        <v>384</v>
      </c>
      <c r="X99" s="96" t="s">
        <v>384</v>
      </c>
      <c r="Y99" s="96" t="s">
        <v>384</v>
      </c>
      <c r="Z99" s="96" t="s">
        <v>384</v>
      </c>
      <c r="AA99" s="80"/>
      <c r="AB99" s="80"/>
    </row>
    <row r="100" spans="1:28" s="76" customFormat="1" x14ac:dyDescent="0.25">
      <c r="A100" s="9" t="s">
        <v>203</v>
      </c>
      <c r="B100" s="15" t="s">
        <v>51</v>
      </c>
      <c r="C100" s="15" t="s">
        <v>38</v>
      </c>
      <c r="D100" s="94" t="s">
        <v>1569</v>
      </c>
      <c r="E100" s="94" t="s">
        <v>1570</v>
      </c>
      <c r="F100" s="94" t="s">
        <v>1571</v>
      </c>
      <c r="G100" s="94">
        <v>0</v>
      </c>
      <c r="H100" s="94">
        <v>0</v>
      </c>
      <c r="I100" s="94" t="s">
        <v>1572</v>
      </c>
      <c r="J100" s="94">
        <v>0</v>
      </c>
      <c r="K100" s="94" t="s">
        <v>1573</v>
      </c>
      <c r="L100" s="94" t="s">
        <v>1574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  <c r="U100" s="118"/>
      <c r="V100" s="94">
        <v>0</v>
      </c>
      <c r="W100" s="94">
        <v>0</v>
      </c>
      <c r="X100" s="94" t="s">
        <v>1575</v>
      </c>
      <c r="Y100" s="94" t="s">
        <v>1575</v>
      </c>
      <c r="Z100" s="94" t="s">
        <v>1576</v>
      </c>
      <c r="AA100" s="80" t="s">
        <v>759</v>
      </c>
      <c r="AB100" s="80" t="s">
        <v>760</v>
      </c>
    </row>
    <row r="101" spans="1:28" s="76" customFormat="1" ht="76.5" x14ac:dyDescent="0.25">
      <c r="A101" s="19" t="s">
        <v>258</v>
      </c>
      <c r="B101" s="19" t="s">
        <v>550</v>
      </c>
      <c r="C101" s="15" t="s">
        <v>4</v>
      </c>
      <c r="D101" s="29" t="s">
        <v>385</v>
      </c>
      <c r="E101" s="29" t="s">
        <v>385</v>
      </c>
      <c r="F101" s="29" t="s">
        <v>385</v>
      </c>
      <c r="G101" s="29" t="s">
        <v>385</v>
      </c>
      <c r="H101" s="29" t="s">
        <v>385</v>
      </c>
      <c r="I101" s="29" t="s">
        <v>385</v>
      </c>
      <c r="J101" s="29" t="s">
        <v>385</v>
      </c>
      <c r="K101" s="29" t="s">
        <v>385</v>
      </c>
      <c r="L101" s="29" t="s">
        <v>385</v>
      </c>
      <c r="M101" s="29" t="s">
        <v>385</v>
      </c>
      <c r="N101" s="29" t="s">
        <v>385</v>
      </c>
      <c r="O101" s="29" t="s">
        <v>385</v>
      </c>
      <c r="P101" s="29" t="s">
        <v>385</v>
      </c>
      <c r="Q101" s="29" t="s">
        <v>385</v>
      </c>
      <c r="R101" s="29" t="s">
        <v>385</v>
      </c>
      <c r="S101" s="29" t="s">
        <v>385</v>
      </c>
      <c r="T101" s="29" t="s">
        <v>385</v>
      </c>
      <c r="U101" s="121"/>
      <c r="V101" s="29" t="s">
        <v>385</v>
      </c>
      <c r="W101" s="29" t="s">
        <v>385</v>
      </c>
      <c r="X101" s="29" t="s">
        <v>385</v>
      </c>
      <c r="Y101" s="29" t="s">
        <v>385</v>
      </c>
      <c r="Z101" s="29" t="s">
        <v>385</v>
      </c>
      <c r="AA101" s="80"/>
      <c r="AB101" s="80"/>
    </row>
    <row r="102" spans="1:28" s="76" customFormat="1" ht="25.5" x14ac:dyDescent="0.25">
      <c r="A102" s="15" t="s">
        <v>259</v>
      </c>
      <c r="B102" s="15" t="s">
        <v>53</v>
      </c>
      <c r="C102" s="15" t="s">
        <v>4</v>
      </c>
      <c r="D102" s="29" t="s">
        <v>356</v>
      </c>
      <c r="E102" s="29" t="s">
        <v>356</v>
      </c>
      <c r="F102" s="29" t="s">
        <v>356</v>
      </c>
      <c r="G102" s="29" t="s">
        <v>356</v>
      </c>
      <c r="H102" s="29" t="s">
        <v>356</v>
      </c>
      <c r="I102" s="29" t="s">
        <v>356</v>
      </c>
      <c r="J102" s="29" t="s">
        <v>356</v>
      </c>
      <c r="K102" s="29" t="s">
        <v>356</v>
      </c>
      <c r="L102" s="29" t="s">
        <v>356</v>
      </c>
      <c r="M102" s="29" t="s">
        <v>356</v>
      </c>
      <c r="N102" s="29" t="s">
        <v>356</v>
      </c>
      <c r="O102" s="29" t="s">
        <v>356</v>
      </c>
      <c r="P102" s="29" t="s">
        <v>356</v>
      </c>
      <c r="Q102" s="29" t="s">
        <v>356</v>
      </c>
      <c r="R102" s="29" t="s">
        <v>356</v>
      </c>
      <c r="S102" s="29" t="s">
        <v>356</v>
      </c>
      <c r="T102" s="29" t="s">
        <v>356</v>
      </c>
      <c r="U102" s="121"/>
      <c r="V102" s="29" t="s">
        <v>356</v>
      </c>
      <c r="W102" s="29" t="s">
        <v>356</v>
      </c>
      <c r="X102" s="29" t="s">
        <v>356</v>
      </c>
      <c r="Y102" s="29" t="s">
        <v>356</v>
      </c>
      <c r="Z102" s="29" t="s">
        <v>356</v>
      </c>
      <c r="AA102" s="80"/>
      <c r="AB102" s="80"/>
    </row>
    <row r="103" spans="1:28" s="76" customFormat="1" x14ac:dyDescent="0.25">
      <c r="A103" s="15" t="s">
        <v>260</v>
      </c>
      <c r="B103" s="15" t="s">
        <v>2</v>
      </c>
      <c r="C103" s="15" t="s">
        <v>4</v>
      </c>
      <c r="D103" s="94" t="s">
        <v>380</v>
      </c>
      <c r="E103" s="94" t="s">
        <v>380</v>
      </c>
      <c r="F103" s="94" t="s">
        <v>380</v>
      </c>
      <c r="G103" s="94" t="s">
        <v>380</v>
      </c>
      <c r="H103" s="94" t="s">
        <v>380</v>
      </c>
      <c r="I103" s="94" t="s">
        <v>380</v>
      </c>
      <c r="J103" s="94" t="s">
        <v>380</v>
      </c>
      <c r="K103" s="94" t="s">
        <v>380</v>
      </c>
      <c r="L103" s="94" t="s">
        <v>380</v>
      </c>
      <c r="M103" s="94" t="s">
        <v>380</v>
      </c>
      <c r="N103" s="94" t="s">
        <v>380</v>
      </c>
      <c r="O103" s="94" t="s">
        <v>380</v>
      </c>
      <c r="P103" s="94" t="s">
        <v>380</v>
      </c>
      <c r="Q103" s="94" t="s">
        <v>380</v>
      </c>
      <c r="R103" s="94" t="s">
        <v>380</v>
      </c>
      <c r="S103" s="94" t="s">
        <v>380</v>
      </c>
      <c r="T103" s="94" t="s">
        <v>380</v>
      </c>
      <c r="U103" s="118"/>
      <c r="V103" s="94" t="s">
        <v>380</v>
      </c>
      <c r="W103" s="94" t="s">
        <v>380</v>
      </c>
      <c r="X103" s="94" t="s">
        <v>380</v>
      </c>
      <c r="Y103" s="94" t="s">
        <v>380</v>
      </c>
      <c r="Z103" s="94" t="s">
        <v>380</v>
      </c>
      <c r="AA103" s="80"/>
      <c r="AB103" s="80"/>
    </row>
    <row r="104" spans="1:28" s="102" customFormat="1" x14ac:dyDescent="0.25">
      <c r="A104" s="15" t="s">
        <v>261</v>
      </c>
      <c r="B104" s="15" t="s">
        <v>54</v>
      </c>
      <c r="C104" s="15" t="s">
        <v>38</v>
      </c>
      <c r="D104" s="24" t="s">
        <v>1598</v>
      </c>
      <c r="E104" s="24" t="s">
        <v>1598</v>
      </c>
      <c r="F104" s="24" t="s">
        <v>1598</v>
      </c>
      <c r="G104" s="24" t="s">
        <v>1598</v>
      </c>
      <c r="H104" s="24" t="s">
        <v>1598</v>
      </c>
      <c r="I104" s="24" t="s">
        <v>1598</v>
      </c>
      <c r="J104" s="24" t="s">
        <v>1598</v>
      </c>
      <c r="K104" s="24" t="s">
        <v>1598</v>
      </c>
      <c r="L104" s="24" t="s">
        <v>1598</v>
      </c>
      <c r="M104" s="24" t="s">
        <v>1600</v>
      </c>
      <c r="N104" s="24" t="s">
        <v>1600</v>
      </c>
      <c r="O104" s="24" t="s">
        <v>1600</v>
      </c>
      <c r="P104" s="24" t="s">
        <v>1600</v>
      </c>
      <c r="Q104" s="24" t="s">
        <v>1600</v>
      </c>
      <c r="R104" s="24" t="s">
        <v>1600</v>
      </c>
      <c r="S104" s="24" t="s">
        <v>1598</v>
      </c>
      <c r="T104" s="24" t="s">
        <v>1598</v>
      </c>
      <c r="U104" s="122" t="s">
        <v>1598</v>
      </c>
      <c r="V104" s="24" t="s">
        <v>1598</v>
      </c>
      <c r="W104" s="24" t="s">
        <v>1599</v>
      </c>
      <c r="X104" s="24" t="s">
        <v>1599</v>
      </c>
      <c r="Y104" s="24" t="s">
        <v>1599</v>
      </c>
      <c r="Z104" s="24" t="s">
        <v>1599</v>
      </c>
      <c r="AA104" s="101"/>
      <c r="AB104" s="101"/>
    </row>
    <row r="105" spans="1:28" s="76" customFormat="1" x14ac:dyDescent="0.25">
      <c r="A105" s="20" t="s">
        <v>202</v>
      </c>
      <c r="B105" s="19" t="s">
        <v>39</v>
      </c>
      <c r="C105" s="15" t="s">
        <v>4</v>
      </c>
      <c r="D105" s="96" t="s">
        <v>386</v>
      </c>
      <c r="E105" s="96" t="s">
        <v>386</v>
      </c>
      <c r="F105" s="96" t="s">
        <v>386</v>
      </c>
      <c r="G105" s="96" t="s">
        <v>386</v>
      </c>
      <c r="H105" s="96" t="s">
        <v>386</v>
      </c>
      <c r="I105" s="96" t="s">
        <v>386</v>
      </c>
      <c r="J105" s="96" t="s">
        <v>386</v>
      </c>
      <c r="K105" s="96" t="s">
        <v>386</v>
      </c>
      <c r="L105" s="96" t="s">
        <v>386</v>
      </c>
      <c r="M105" s="96" t="s">
        <v>386</v>
      </c>
      <c r="N105" s="96" t="s">
        <v>386</v>
      </c>
      <c r="O105" s="96" t="s">
        <v>386</v>
      </c>
      <c r="P105" s="96" t="s">
        <v>386</v>
      </c>
      <c r="Q105" s="96" t="s">
        <v>386</v>
      </c>
      <c r="R105" s="96" t="s">
        <v>386</v>
      </c>
      <c r="S105" s="96" t="s">
        <v>386</v>
      </c>
      <c r="T105" s="96" t="s">
        <v>386</v>
      </c>
      <c r="U105" s="120"/>
      <c r="V105" s="96" t="s">
        <v>386</v>
      </c>
      <c r="W105" s="96" t="s">
        <v>386</v>
      </c>
      <c r="X105" s="96" t="s">
        <v>386</v>
      </c>
      <c r="Y105" s="96" t="s">
        <v>386</v>
      </c>
      <c r="Z105" s="96" t="s">
        <v>386</v>
      </c>
      <c r="AA105" s="80"/>
      <c r="AB105" s="80"/>
    </row>
    <row r="106" spans="1:28" s="76" customFormat="1" x14ac:dyDescent="0.25">
      <c r="A106" s="9" t="s">
        <v>203</v>
      </c>
      <c r="B106" s="15" t="s">
        <v>51</v>
      </c>
      <c r="C106" s="15" t="s">
        <v>38</v>
      </c>
      <c r="D106" s="94" t="s">
        <v>1577</v>
      </c>
      <c r="E106" s="94" t="s">
        <v>1578</v>
      </c>
      <c r="F106" s="94" t="s">
        <v>1579</v>
      </c>
      <c r="G106" s="94" t="s">
        <v>1580</v>
      </c>
      <c r="H106" s="94" t="s">
        <v>1581</v>
      </c>
      <c r="I106" s="94" t="s">
        <v>1582</v>
      </c>
      <c r="J106" s="94" t="s">
        <v>1583</v>
      </c>
      <c r="K106" s="94" t="s">
        <v>1584</v>
      </c>
      <c r="L106" s="94" t="s">
        <v>1585</v>
      </c>
      <c r="M106" s="94" t="s">
        <v>1586</v>
      </c>
      <c r="N106" s="94" t="s">
        <v>1587</v>
      </c>
      <c r="O106" s="94" t="s">
        <v>1588</v>
      </c>
      <c r="P106" s="94" t="s">
        <v>1589</v>
      </c>
      <c r="Q106" s="94" t="s">
        <v>761</v>
      </c>
      <c r="R106" s="94" t="s">
        <v>1590</v>
      </c>
      <c r="S106" s="94" t="s">
        <v>1591</v>
      </c>
      <c r="T106" s="94" t="s">
        <v>1592</v>
      </c>
      <c r="U106" s="118"/>
      <c r="V106" s="94" t="s">
        <v>1593</v>
      </c>
      <c r="W106" s="94" t="s">
        <v>1594</v>
      </c>
      <c r="X106" s="94" t="s">
        <v>1595</v>
      </c>
      <c r="Y106" s="94" t="s">
        <v>1596</v>
      </c>
      <c r="Z106" s="94" t="s">
        <v>1597</v>
      </c>
      <c r="AA106" s="80" t="s">
        <v>762</v>
      </c>
      <c r="AB106" s="80" t="s">
        <v>763</v>
      </c>
    </row>
    <row r="107" spans="1:28" s="76" customFormat="1" ht="41.25" customHeight="1" x14ac:dyDescent="0.25">
      <c r="A107" s="19" t="s">
        <v>262</v>
      </c>
      <c r="B107" s="19" t="s">
        <v>550</v>
      </c>
      <c r="C107" s="15" t="s">
        <v>4</v>
      </c>
      <c r="D107" s="29" t="s">
        <v>386</v>
      </c>
      <c r="E107" s="29" t="s">
        <v>386</v>
      </c>
      <c r="F107" s="29" t="s">
        <v>386</v>
      </c>
      <c r="G107" s="29" t="s">
        <v>386</v>
      </c>
      <c r="H107" s="29" t="s">
        <v>386</v>
      </c>
      <c r="I107" s="29" t="s">
        <v>386</v>
      </c>
      <c r="J107" s="29" t="s">
        <v>386</v>
      </c>
      <c r="K107" s="29" t="s">
        <v>386</v>
      </c>
      <c r="L107" s="29" t="s">
        <v>386</v>
      </c>
      <c r="M107" s="29" t="s">
        <v>386</v>
      </c>
      <c r="N107" s="29" t="s">
        <v>386</v>
      </c>
      <c r="O107" s="29" t="s">
        <v>386</v>
      </c>
      <c r="P107" s="29" t="s">
        <v>386</v>
      </c>
      <c r="Q107" s="29" t="s">
        <v>386</v>
      </c>
      <c r="R107" s="29" t="s">
        <v>386</v>
      </c>
      <c r="S107" s="29" t="s">
        <v>386</v>
      </c>
      <c r="T107" s="29" t="s">
        <v>386</v>
      </c>
      <c r="U107" s="121"/>
      <c r="V107" s="29" t="s">
        <v>386</v>
      </c>
      <c r="W107" s="29" t="s">
        <v>386</v>
      </c>
      <c r="X107" s="29" t="s">
        <v>386</v>
      </c>
      <c r="Y107" s="29" t="s">
        <v>386</v>
      </c>
      <c r="Z107" s="29" t="s">
        <v>386</v>
      </c>
      <c r="AA107" s="80"/>
      <c r="AB107" s="80"/>
    </row>
    <row r="108" spans="1:28" s="76" customFormat="1" ht="25.5" x14ac:dyDescent="0.25">
      <c r="A108" s="15" t="s">
        <v>263</v>
      </c>
      <c r="B108" s="15" t="s">
        <v>53</v>
      </c>
      <c r="C108" s="15" t="s">
        <v>4</v>
      </c>
      <c r="D108" s="29" t="s">
        <v>373</v>
      </c>
      <c r="E108" s="29" t="s">
        <v>373</v>
      </c>
      <c r="F108" s="29" t="s">
        <v>373</v>
      </c>
      <c r="G108" s="29" t="s">
        <v>373</v>
      </c>
      <c r="H108" s="29" t="s">
        <v>373</v>
      </c>
      <c r="I108" s="29" t="s">
        <v>373</v>
      </c>
      <c r="J108" s="29" t="s">
        <v>373</v>
      </c>
      <c r="K108" s="29" t="s">
        <v>373</v>
      </c>
      <c r="L108" s="29" t="s">
        <v>373</v>
      </c>
      <c r="M108" s="29" t="s">
        <v>373</v>
      </c>
      <c r="N108" s="29" t="s">
        <v>373</v>
      </c>
      <c r="O108" s="29" t="s">
        <v>373</v>
      </c>
      <c r="P108" s="29" t="s">
        <v>373</v>
      </c>
      <c r="Q108" s="29" t="s">
        <v>373</v>
      </c>
      <c r="R108" s="29" t="s">
        <v>373</v>
      </c>
      <c r="S108" s="29" t="s">
        <v>373</v>
      </c>
      <c r="T108" s="29" t="s">
        <v>373</v>
      </c>
      <c r="U108" s="121"/>
      <c r="V108" s="29" t="s">
        <v>373</v>
      </c>
      <c r="W108" s="29" t="s">
        <v>373</v>
      </c>
      <c r="X108" s="29" t="s">
        <v>373</v>
      </c>
      <c r="Y108" s="29" t="s">
        <v>373</v>
      </c>
      <c r="Z108" s="29" t="s">
        <v>373</v>
      </c>
      <c r="AA108" s="80"/>
      <c r="AB108" s="80"/>
    </row>
    <row r="109" spans="1:28" s="76" customFormat="1" x14ac:dyDescent="0.25">
      <c r="A109" s="15" t="s">
        <v>264</v>
      </c>
      <c r="B109" s="15" t="s">
        <v>2</v>
      </c>
      <c r="C109" s="15" t="s">
        <v>4</v>
      </c>
      <c r="D109" s="94" t="s">
        <v>380</v>
      </c>
      <c r="E109" s="94" t="s">
        <v>380</v>
      </c>
      <c r="F109" s="94" t="s">
        <v>380</v>
      </c>
      <c r="G109" s="94" t="s">
        <v>380</v>
      </c>
      <c r="H109" s="94" t="s">
        <v>380</v>
      </c>
      <c r="I109" s="94" t="s">
        <v>380</v>
      </c>
      <c r="J109" s="94" t="s">
        <v>380</v>
      </c>
      <c r="K109" s="94" t="s">
        <v>380</v>
      </c>
      <c r="L109" s="94" t="s">
        <v>380</v>
      </c>
      <c r="M109" s="94" t="s">
        <v>380</v>
      </c>
      <c r="N109" s="94" t="s">
        <v>380</v>
      </c>
      <c r="O109" s="94" t="s">
        <v>380</v>
      </c>
      <c r="P109" s="94" t="s">
        <v>380</v>
      </c>
      <c r="Q109" s="94" t="s">
        <v>380</v>
      </c>
      <c r="R109" s="94" t="s">
        <v>380</v>
      </c>
      <c r="S109" s="94" t="s">
        <v>380</v>
      </c>
      <c r="T109" s="94" t="s">
        <v>380</v>
      </c>
      <c r="U109" s="118"/>
      <c r="V109" s="94" t="s">
        <v>380</v>
      </c>
      <c r="W109" s="94" t="s">
        <v>380</v>
      </c>
      <c r="X109" s="94" t="s">
        <v>380</v>
      </c>
      <c r="Y109" s="94" t="s">
        <v>380</v>
      </c>
      <c r="Z109" s="94" t="s">
        <v>380</v>
      </c>
      <c r="AA109" s="80"/>
      <c r="AB109" s="80"/>
    </row>
    <row r="110" spans="1:28" s="102" customFormat="1" x14ac:dyDescent="0.25">
      <c r="A110" s="15" t="s">
        <v>265</v>
      </c>
      <c r="B110" s="15" t="s">
        <v>54</v>
      </c>
      <c r="C110" s="15" t="s">
        <v>38</v>
      </c>
      <c r="D110" s="24" t="s">
        <v>1601</v>
      </c>
      <c r="E110" s="24" t="s">
        <v>1601</v>
      </c>
      <c r="F110" s="24" t="s">
        <v>1601</v>
      </c>
      <c r="G110" s="24" t="s">
        <v>1601</v>
      </c>
      <c r="H110" s="24" t="s">
        <v>1601</v>
      </c>
      <c r="I110" s="24" t="s">
        <v>1601</v>
      </c>
      <c r="J110" s="24" t="s">
        <v>1601</v>
      </c>
      <c r="K110" s="24" t="s">
        <v>1601</v>
      </c>
      <c r="L110" s="24" t="s">
        <v>1601</v>
      </c>
      <c r="M110" s="24" t="s">
        <v>1601</v>
      </c>
      <c r="N110" s="24" t="s">
        <v>1601</v>
      </c>
      <c r="O110" s="24" t="s">
        <v>1601</v>
      </c>
      <c r="P110" s="24" t="s">
        <v>1601</v>
      </c>
      <c r="Q110" s="24" t="s">
        <v>1601</v>
      </c>
      <c r="R110" s="24" t="s">
        <v>1601</v>
      </c>
      <c r="S110" s="24" t="s">
        <v>1601</v>
      </c>
      <c r="T110" s="24" t="s">
        <v>1601</v>
      </c>
      <c r="U110" s="122" t="s">
        <v>1601</v>
      </c>
      <c r="V110" s="24" t="s">
        <v>1601</v>
      </c>
      <c r="W110" s="24" t="s">
        <v>1601</v>
      </c>
      <c r="X110" s="24" t="s">
        <v>1601</v>
      </c>
      <c r="Y110" s="24" t="s">
        <v>1601</v>
      </c>
      <c r="Z110" s="24" t="s">
        <v>1601</v>
      </c>
      <c r="AA110" s="101"/>
      <c r="AB110" s="101"/>
    </row>
    <row r="111" spans="1:28" s="76" customFormat="1" x14ac:dyDescent="0.25">
      <c r="A111" s="20" t="s">
        <v>202</v>
      </c>
      <c r="B111" s="19" t="s">
        <v>39</v>
      </c>
      <c r="C111" s="15" t="s">
        <v>4</v>
      </c>
      <c r="D111" s="96" t="s">
        <v>387</v>
      </c>
      <c r="E111" s="96" t="s">
        <v>387</v>
      </c>
      <c r="F111" s="96" t="s">
        <v>387</v>
      </c>
      <c r="G111" s="96" t="s">
        <v>387</v>
      </c>
      <c r="H111" s="96" t="s">
        <v>387</v>
      </c>
      <c r="I111" s="96" t="s">
        <v>387</v>
      </c>
      <c r="J111" s="96" t="s">
        <v>387</v>
      </c>
      <c r="K111" s="96" t="s">
        <v>387</v>
      </c>
      <c r="L111" s="96" t="s">
        <v>387</v>
      </c>
      <c r="M111" s="96" t="s">
        <v>387</v>
      </c>
      <c r="N111" s="96" t="s">
        <v>387</v>
      </c>
      <c r="O111" s="96" t="s">
        <v>387</v>
      </c>
      <c r="P111" s="96" t="s">
        <v>387</v>
      </c>
      <c r="Q111" s="96" t="s">
        <v>387</v>
      </c>
      <c r="R111" s="96" t="s">
        <v>387</v>
      </c>
      <c r="S111" s="96" t="s">
        <v>387</v>
      </c>
      <c r="T111" s="96" t="s">
        <v>387</v>
      </c>
      <c r="U111" s="120"/>
      <c r="V111" s="96" t="s">
        <v>387</v>
      </c>
      <c r="W111" s="96" t="s">
        <v>387</v>
      </c>
      <c r="X111" s="96" t="s">
        <v>387</v>
      </c>
      <c r="Y111" s="96" t="s">
        <v>387</v>
      </c>
      <c r="Z111" s="96" t="s">
        <v>387</v>
      </c>
      <c r="AA111" s="80"/>
      <c r="AB111" s="80"/>
    </row>
    <row r="112" spans="1:28" s="76" customFormat="1" x14ac:dyDescent="0.25">
      <c r="A112" s="9" t="s">
        <v>203</v>
      </c>
      <c r="B112" s="15" t="s">
        <v>51</v>
      </c>
      <c r="C112" s="15" t="s">
        <v>38</v>
      </c>
      <c r="D112" s="31" t="s">
        <v>1769</v>
      </c>
      <c r="E112" s="31">
        <v>0</v>
      </c>
      <c r="F112" s="31">
        <v>0</v>
      </c>
      <c r="G112" s="31" t="s">
        <v>1770</v>
      </c>
      <c r="H112" s="31" t="s">
        <v>1771</v>
      </c>
      <c r="I112" s="31" t="s">
        <v>1772</v>
      </c>
      <c r="J112" s="31" t="s">
        <v>1773</v>
      </c>
      <c r="K112" s="31" t="s">
        <v>1774</v>
      </c>
      <c r="L112" s="31" t="s">
        <v>1775</v>
      </c>
      <c r="M112" s="31" t="s">
        <v>1776</v>
      </c>
      <c r="N112" s="31">
        <v>747036</v>
      </c>
      <c r="O112" s="31" t="s">
        <v>1777</v>
      </c>
      <c r="P112" s="31" t="s">
        <v>1778</v>
      </c>
      <c r="Q112" s="31" t="s">
        <v>1779</v>
      </c>
      <c r="R112" s="31" t="s">
        <v>1780</v>
      </c>
      <c r="S112" s="31" t="s">
        <v>1781</v>
      </c>
      <c r="T112" s="31" t="s">
        <v>1782</v>
      </c>
      <c r="U112" s="123"/>
      <c r="V112" s="31" t="s">
        <v>1783</v>
      </c>
      <c r="W112" s="31" t="s">
        <v>1784</v>
      </c>
      <c r="X112" s="31" t="s">
        <v>1771</v>
      </c>
      <c r="Y112" s="31" t="s">
        <v>1772</v>
      </c>
      <c r="Z112" s="31" t="s">
        <v>1785</v>
      </c>
      <c r="AA112" s="80" t="s">
        <v>764</v>
      </c>
      <c r="AB112" s="80" t="s">
        <v>765</v>
      </c>
    </row>
    <row r="113" spans="1:28" s="76" customFormat="1" ht="41.25" customHeight="1" x14ac:dyDescent="0.25">
      <c r="A113" s="19" t="s">
        <v>266</v>
      </c>
      <c r="B113" s="19" t="s">
        <v>550</v>
      </c>
      <c r="C113" s="15" t="s">
        <v>4</v>
      </c>
      <c r="D113" s="29" t="s">
        <v>388</v>
      </c>
      <c r="E113" s="29" t="s">
        <v>388</v>
      </c>
      <c r="F113" s="29" t="s">
        <v>388</v>
      </c>
      <c r="G113" s="29" t="s">
        <v>388</v>
      </c>
      <c r="H113" s="29" t="s">
        <v>388</v>
      </c>
      <c r="I113" s="29" t="s">
        <v>388</v>
      </c>
      <c r="J113" s="29" t="s">
        <v>388</v>
      </c>
      <c r="K113" s="29" t="s">
        <v>388</v>
      </c>
      <c r="L113" s="29" t="s">
        <v>388</v>
      </c>
      <c r="M113" s="29" t="s">
        <v>388</v>
      </c>
      <c r="N113" s="29" t="s">
        <v>388</v>
      </c>
      <c r="O113" s="29" t="s">
        <v>388</v>
      </c>
      <c r="P113" s="29" t="s">
        <v>388</v>
      </c>
      <c r="Q113" s="29" t="s">
        <v>388</v>
      </c>
      <c r="R113" s="29" t="s">
        <v>388</v>
      </c>
      <c r="S113" s="29" t="s">
        <v>388</v>
      </c>
      <c r="T113" s="29" t="s">
        <v>388</v>
      </c>
      <c r="U113" s="121"/>
      <c r="V113" s="29" t="s">
        <v>388</v>
      </c>
      <c r="W113" s="29" t="s">
        <v>388</v>
      </c>
      <c r="X113" s="29" t="s">
        <v>388</v>
      </c>
      <c r="Y113" s="29" t="s">
        <v>388</v>
      </c>
      <c r="Z113" s="29" t="s">
        <v>388</v>
      </c>
      <c r="AA113" s="80"/>
      <c r="AB113" s="80"/>
    </row>
    <row r="114" spans="1:28" s="76" customFormat="1" ht="25.5" x14ac:dyDescent="0.25">
      <c r="A114" s="15" t="s">
        <v>267</v>
      </c>
      <c r="B114" s="15" t="s">
        <v>53</v>
      </c>
      <c r="C114" s="15" t="s">
        <v>4</v>
      </c>
      <c r="D114" s="94" t="s">
        <v>356</v>
      </c>
      <c r="E114" s="94" t="s">
        <v>356</v>
      </c>
      <c r="F114" s="94" t="s">
        <v>356</v>
      </c>
      <c r="G114" s="94" t="s">
        <v>356</v>
      </c>
      <c r="H114" s="94" t="s">
        <v>356</v>
      </c>
      <c r="I114" s="94" t="s">
        <v>356</v>
      </c>
      <c r="J114" s="94" t="s">
        <v>356</v>
      </c>
      <c r="K114" s="94" t="s">
        <v>356</v>
      </c>
      <c r="L114" s="94" t="s">
        <v>356</v>
      </c>
      <c r="M114" s="94" t="s">
        <v>356</v>
      </c>
      <c r="N114" s="94" t="s">
        <v>356</v>
      </c>
      <c r="O114" s="94" t="s">
        <v>356</v>
      </c>
      <c r="P114" s="94" t="s">
        <v>356</v>
      </c>
      <c r="Q114" s="94" t="s">
        <v>356</v>
      </c>
      <c r="R114" s="94" t="s">
        <v>356</v>
      </c>
      <c r="S114" s="94" t="s">
        <v>356</v>
      </c>
      <c r="T114" s="94" t="s">
        <v>356</v>
      </c>
      <c r="U114" s="121"/>
      <c r="V114" s="94" t="s">
        <v>356</v>
      </c>
      <c r="W114" s="94" t="s">
        <v>356</v>
      </c>
      <c r="X114" s="94" t="s">
        <v>356</v>
      </c>
      <c r="Y114" s="94" t="s">
        <v>356</v>
      </c>
      <c r="Z114" s="94" t="s">
        <v>356</v>
      </c>
      <c r="AA114" s="80"/>
      <c r="AB114" s="80"/>
    </row>
    <row r="115" spans="1:28" s="76" customFormat="1" x14ac:dyDescent="0.25">
      <c r="A115" s="15" t="s">
        <v>268</v>
      </c>
      <c r="B115" s="15" t="s">
        <v>2</v>
      </c>
      <c r="C115" s="15" t="s">
        <v>4</v>
      </c>
      <c r="D115" s="94" t="s">
        <v>380</v>
      </c>
      <c r="E115" s="94" t="s">
        <v>380</v>
      </c>
      <c r="F115" s="94" t="s">
        <v>380</v>
      </c>
      <c r="G115" s="94" t="s">
        <v>380</v>
      </c>
      <c r="H115" s="94" t="s">
        <v>380</v>
      </c>
      <c r="I115" s="94" t="s">
        <v>380</v>
      </c>
      <c r="J115" s="94" t="s">
        <v>380</v>
      </c>
      <c r="K115" s="94" t="s">
        <v>380</v>
      </c>
      <c r="L115" s="94" t="s">
        <v>380</v>
      </c>
      <c r="M115" s="94" t="s">
        <v>380</v>
      </c>
      <c r="N115" s="94" t="s">
        <v>380</v>
      </c>
      <c r="O115" s="94" t="s">
        <v>380</v>
      </c>
      <c r="P115" s="94" t="s">
        <v>380</v>
      </c>
      <c r="Q115" s="94" t="s">
        <v>380</v>
      </c>
      <c r="R115" s="94" t="s">
        <v>380</v>
      </c>
      <c r="S115" s="94" t="s">
        <v>380</v>
      </c>
      <c r="T115" s="94" t="s">
        <v>380</v>
      </c>
      <c r="U115" s="118"/>
      <c r="V115" s="94" t="s">
        <v>380</v>
      </c>
      <c r="W115" s="94" t="s">
        <v>380</v>
      </c>
      <c r="X115" s="94" t="s">
        <v>380</v>
      </c>
      <c r="Y115" s="94" t="s">
        <v>380</v>
      </c>
      <c r="Z115" s="94" t="s">
        <v>380</v>
      </c>
      <c r="AA115" s="80"/>
      <c r="AB115" s="80"/>
    </row>
    <row r="116" spans="1:28" s="76" customFormat="1" x14ac:dyDescent="0.25">
      <c r="A116" s="9" t="s">
        <v>269</v>
      </c>
      <c r="B116" s="9" t="s">
        <v>54</v>
      </c>
      <c r="C116" s="9" t="s">
        <v>38</v>
      </c>
      <c r="D116" s="24" t="s">
        <v>1768</v>
      </c>
      <c r="E116" s="17"/>
      <c r="F116" s="9"/>
      <c r="G116" s="17" t="s">
        <v>1768</v>
      </c>
      <c r="H116" s="17" t="s">
        <v>1768</v>
      </c>
      <c r="I116" s="17" t="s">
        <v>1768</v>
      </c>
      <c r="J116" s="17" t="s">
        <v>1768</v>
      </c>
      <c r="K116" s="17" t="s">
        <v>1768</v>
      </c>
      <c r="L116" s="17" t="s">
        <v>1768</v>
      </c>
      <c r="M116" s="9" t="s">
        <v>1768</v>
      </c>
      <c r="N116" s="17" t="s">
        <v>1768</v>
      </c>
      <c r="O116" s="17" t="s">
        <v>1768</v>
      </c>
      <c r="P116" s="17" t="s">
        <v>1768</v>
      </c>
      <c r="Q116" s="9" t="s">
        <v>1768</v>
      </c>
      <c r="R116" s="9" t="s">
        <v>1768</v>
      </c>
      <c r="S116" s="9" t="s">
        <v>1768</v>
      </c>
      <c r="T116" s="9" t="s">
        <v>1768</v>
      </c>
      <c r="U116" s="117" t="s">
        <v>1768</v>
      </c>
      <c r="V116" s="9" t="s">
        <v>1768</v>
      </c>
      <c r="W116" s="17" t="s">
        <v>1768</v>
      </c>
      <c r="X116" s="17" t="s">
        <v>1768</v>
      </c>
      <c r="Y116" s="9" t="s">
        <v>1768</v>
      </c>
      <c r="Z116" s="9" t="s">
        <v>1768</v>
      </c>
      <c r="AA116" s="103"/>
      <c r="AB116" s="103"/>
    </row>
    <row r="117" spans="1:28" s="76" customFormat="1" x14ac:dyDescent="0.25">
      <c r="A117" s="20" t="s">
        <v>202</v>
      </c>
      <c r="B117" s="19" t="s">
        <v>39</v>
      </c>
      <c r="C117" s="15" t="s">
        <v>4</v>
      </c>
      <c r="D117" s="96" t="s">
        <v>389</v>
      </c>
      <c r="E117" s="96" t="s">
        <v>389</v>
      </c>
      <c r="F117" s="96" t="s">
        <v>389</v>
      </c>
      <c r="G117" s="96" t="s">
        <v>389</v>
      </c>
      <c r="H117" s="96" t="s">
        <v>389</v>
      </c>
      <c r="I117" s="96" t="s">
        <v>389</v>
      </c>
      <c r="J117" s="96" t="s">
        <v>389</v>
      </c>
      <c r="K117" s="96" t="s">
        <v>389</v>
      </c>
      <c r="L117" s="96" t="s">
        <v>389</v>
      </c>
      <c r="M117" s="96" t="s">
        <v>389</v>
      </c>
      <c r="N117" s="96" t="s">
        <v>389</v>
      </c>
      <c r="O117" s="96" t="s">
        <v>389</v>
      </c>
      <c r="P117" s="96" t="s">
        <v>389</v>
      </c>
      <c r="Q117" s="96" t="s">
        <v>389</v>
      </c>
      <c r="R117" s="96" t="s">
        <v>389</v>
      </c>
      <c r="S117" s="96" t="s">
        <v>389</v>
      </c>
      <c r="T117" s="96" t="s">
        <v>389</v>
      </c>
      <c r="U117" s="120"/>
      <c r="V117" s="96" t="s">
        <v>389</v>
      </c>
      <c r="W117" s="96" t="s">
        <v>389</v>
      </c>
      <c r="X117" s="96" t="s">
        <v>389</v>
      </c>
      <c r="Y117" s="96" t="s">
        <v>389</v>
      </c>
      <c r="Z117" s="96" t="s">
        <v>389</v>
      </c>
      <c r="AA117" s="80"/>
      <c r="AB117" s="80"/>
    </row>
    <row r="118" spans="1:28" s="76" customFormat="1" x14ac:dyDescent="0.25">
      <c r="A118" s="9" t="s">
        <v>203</v>
      </c>
      <c r="B118" s="15" t="s">
        <v>51</v>
      </c>
      <c r="C118" s="15" t="s">
        <v>38</v>
      </c>
      <c r="D118" s="94" t="s">
        <v>766</v>
      </c>
      <c r="E118" s="94">
        <v>3324000</v>
      </c>
      <c r="F118" s="94" t="s">
        <v>767</v>
      </c>
      <c r="G118" s="94" t="s">
        <v>768</v>
      </c>
      <c r="H118" s="94">
        <v>1404000</v>
      </c>
      <c r="I118" s="94">
        <v>1872000</v>
      </c>
      <c r="J118" s="94">
        <v>1108800</v>
      </c>
      <c r="K118" s="94" t="s">
        <v>769</v>
      </c>
      <c r="L118" s="94">
        <v>2016000</v>
      </c>
      <c r="M118" s="94" t="s">
        <v>770</v>
      </c>
      <c r="N118" s="94" t="s">
        <v>771</v>
      </c>
      <c r="O118" s="94" t="s">
        <v>768</v>
      </c>
      <c r="P118" s="94" t="s">
        <v>768</v>
      </c>
      <c r="Q118" s="94" t="s">
        <v>772</v>
      </c>
      <c r="R118" s="94">
        <v>2340000</v>
      </c>
      <c r="S118" s="94">
        <v>1128000</v>
      </c>
      <c r="T118" s="94" t="s">
        <v>773</v>
      </c>
      <c r="U118" s="118"/>
      <c r="V118" s="94">
        <v>1320000</v>
      </c>
      <c r="W118" s="94" t="s">
        <v>774</v>
      </c>
      <c r="X118" s="94" t="s">
        <v>775</v>
      </c>
      <c r="Y118" s="94" t="s">
        <v>776</v>
      </c>
      <c r="Z118" s="94" t="s">
        <v>777</v>
      </c>
      <c r="AA118" s="80" t="s">
        <v>778</v>
      </c>
      <c r="AB118" s="80" t="s">
        <v>779</v>
      </c>
    </row>
    <row r="119" spans="1:28" s="76" customFormat="1" ht="41.25" customHeight="1" x14ac:dyDescent="0.25">
      <c r="A119" s="19" t="s">
        <v>270</v>
      </c>
      <c r="B119" s="19" t="s">
        <v>550</v>
      </c>
      <c r="C119" s="15" t="s">
        <v>4</v>
      </c>
      <c r="D119" s="29" t="s">
        <v>390</v>
      </c>
      <c r="E119" s="29" t="s">
        <v>390</v>
      </c>
      <c r="F119" s="29" t="s">
        <v>390</v>
      </c>
      <c r="G119" s="29" t="s">
        <v>390</v>
      </c>
      <c r="H119" s="29" t="s">
        <v>390</v>
      </c>
      <c r="I119" s="29" t="s">
        <v>390</v>
      </c>
      <c r="J119" s="29" t="s">
        <v>390</v>
      </c>
      <c r="K119" s="29" t="s">
        <v>390</v>
      </c>
      <c r="L119" s="29" t="s">
        <v>390</v>
      </c>
      <c r="M119" s="29" t="s">
        <v>390</v>
      </c>
      <c r="N119" s="29" t="s">
        <v>390</v>
      </c>
      <c r="O119" s="29" t="s">
        <v>390</v>
      </c>
      <c r="P119" s="29" t="s">
        <v>390</v>
      </c>
      <c r="Q119" s="29" t="s">
        <v>390</v>
      </c>
      <c r="R119" s="29" t="s">
        <v>390</v>
      </c>
      <c r="S119" s="29" t="s">
        <v>390</v>
      </c>
      <c r="T119" s="29" t="s">
        <v>390</v>
      </c>
      <c r="U119" s="121"/>
      <c r="V119" s="29" t="s">
        <v>390</v>
      </c>
      <c r="W119" s="29" t="s">
        <v>390</v>
      </c>
      <c r="X119" s="29" t="s">
        <v>390</v>
      </c>
      <c r="Y119" s="29" t="s">
        <v>390</v>
      </c>
      <c r="Z119" s="29" t="s">
        <v>390</v>
      </c>
      <c r="AA119" s="80"/>
      <c r="AB119" s="80"/>
    </row>
    <row r="120" spans="1:28" s="76" customFormat="1" ht="25.5" x14ac:dyDescent="0.25">
      <c r="A120" s="15" t="s">
        <v>271</v>
      </c>
      <c r="B120" s="15" t="s">
        <v>53</v>
      </c>
      <c r="C120" s="15" t="s">
        <v>4</v>
      </c>
      <c r="D120" s="29" t="s">
        <v>361</v>
      </c>
      <c r="E120" s="29" t="s">
        <v>361</v>
      </c>
      <c r="F120" s="29" t="s">
        <v>361</v>
      </c>
      <c r="G120" s="29" t="s">
        <v>361</v>
      </c>
      <c r="H120" s="29" t="s">
        <v>361</v>
      </c>
      <c r="I120" s="29" t="s">
        <v>361</v>
      </c>
      <c r="J120" s="29" t="s">
        <v>361</v>
      </c>
      <c r="K120" s="29" t="s">
        <v>361</v>
      </c>
      <c r="L120" s="29" t="s">
        <v>361</v>
      </c>
      <c r="M120" s="29" t="s">
        <v>361</v>
      </c>
      <c r="N120" s="29" t="s">
        <v>361</v>
      </c>
      <c r="O120" s="29" t="s">
        <v>361</v>
      </c>
      <c r="P120" s="29" t="s">
        <v>361</v>
      </c>
      <c r="Q120" s="29" t="s">
        <v>361</v>
      </c>
      <c r="R120" s="29" t="s">
        <v>361</v>
      </c>
      <c r="S120" s="29" t="s">
        <v>361</v>
      </c>
      <c r="T120" s="29" t="s">
        <v>361</v>
      </c>
      <c r="U120" s="121"/>
      <c r="V120" s="29" t="s">
        <v>361</v>
      </c>
      <c r="W120" s="29" t="s">
        <v>361</v>
      </c>
      <c r="X120" s="29" t="s">
        <v>361</v>
      </c>
      <c r="Y120" s="29" t="s">
        <v>361</v>
      </c>
      <c r="Z120" s="29" t="s">
        <v>361</v>
      </c>
      <c r="AA120" s="80"/>
      <c r="AB120" s="80"/>
    </row>
    <row r="121" spans="1:28" s="76" customFormat="1" x14ac:dyDescent="0.25">
      <c r="A121" s="15" t="s">
        <v>272</v>
      </c>
      <c r="B121" s="15" t="s">
        <v>2</v>
      </c>
      <c r="C121" s="15" t="s">
        <v>4</v>
      </c>
      <c r="D121" s="94" t="s">
        <v>391</v>
      </c>
      <c r="E121" s="94" t="s">
        <v>391</v>
      </c>
      <c r="F121" s="94" t="s">
        <v>391</v>
      </c>
      <c r="G121" s="94" t="s">
        <v>391</v>
      </c>
      <c r="H121" s="94" t="s">
        <v>391</v>
      </c>
      <c r="I121" s="94" t="s">
        <v>391</v>
      </c>
      <c r="J121" s="94" t="s">
        <v>391</v>
      </c>
      <c r="K121" s="94" t="s">
        <v>391</v>
      </c>
      <c r="L121" s="94" t="s">
        <v>391</v>
      </c>
      <c r="M121" s="94" t="s">
        <v>391</v>
      </c>
      <c r="N121" s="94" t="s">
        <v>391</v>
      </c>
      <c r="O121" s="94" t="s">
        <v>391</v>
      </c>
      <c r="P121" s="94" t="s">
        <v>391</v>
      </c>
      <c r="Q121" s="94" t="s">
        <v>391</v>
      </c>
      <c r="R121" s="94" t="s">
        <v>391</v>
      </c>
      <c r="S121" s="94" t="s">
        <v>391</v>
      </c>
      <c r="T121" s="94" t="s">
        <v>391</v>
      </c>
      <c r="U121" s="118"/>
      <c r="V121" s="94" t="s">
        <v>391</v>
      </c>
      <c r="W121" s="94" t="s">
        <v>391</v>
      </c>
      <c r="X121" s="94" t="s">
        <v>391</v>
      </c>
      <c r="Y121" s="94" t="s">
        <v>391</v>
      </c>
      <c r="Z121" s="94" t="s">
        <v>391</v>
      </c>
      <c r="AA121" s="80"/>
      <c r="AB121" s="80"/>
    </row>
    <row r="122" spans="1:28" s="76" customFormat="1" x14ac:dyDescent="0.25">
      <c r="A122" s="15" t="s">
        <v>273</v>
      </c>
      <c r="B122" s="15" t="s">
        <v>54</v>
      </c>
      <c r="C122" s="15" t="s">
        <v>38</v>
      </c>
      <c r="D122" s="94" t="s">
        <v>780</v>
      </c>
      <c r="E122" s="94" t="s">
        <v>780</v>
      </c>
      <c r="F122" s="94" t="s">
        <v>780</v>
      </c>
      <c r="G122" s="94" t="s">
        <v>780</v>
      </c>
      <c r="H122" s="94" t="s">
        <v>780</v>
      </c>
      <c r="I122" s="94" t="s">
        <v>780</v>
      </c>
      <c r="J122" s="94" t="s">
        <v>780</v>
      </c>
      <c r="K122" s="94" t="s">
        <v>780</v>
      </c>
      <c r="L122" s="94" t="s">
        <v>780</v>
      </c>
      <c r="M122" s="94" t="s">
        <v>780</v>
      </c>
      <c r="N122" s="94" t="s">
        <v>780</v>
      </c>
      <c r="O122" s="94" t="s">
        <v>780</v>
      </c>
      <c r="P122" s="94" t="s">
        <v>780</v>
      </c>
      <c r="Q122" s="94" t="s">
        <v>780</v>
      </c>
      <c r="R122" s="94" t="s">
        <v>780</v>
      </c>
      <c r="S122" s="94" t="s">
        <v>780</v>
      </c>
      <c r="T122" s="94" t="s">
        <v>780</v>
      </c>
      <c r="U122" s="118"/>
      <c r="V122" s="94" t="s">
        <v>780</v>
      </c>
      <c r="W122" s="94" t="s">
        <v>780</v>
      </c>
      <c r="X122" s="94" t="s">
        <v>780</v>
      </c>
      <c r="Y122" s="94" t="s">
        <v>780</v>
      </c>
      <c r="Z122" s="94" t="s">
        <v>780</v>
      </c>
      <c r="AA122" s="80"/>
      <c r="AB122" s="80"/>
    </row>
    <row r="123" spans="1:28" s="76" customFormat="1" hidden="1" x14ac:dyDescent="0.25">
      <c r="A123" s="20" t="s">
        <v>202</v>
      </c>
      <c r="B123" s="19" t="s">
        <v>39</v>
      </c>
      <c r="C123" s="15" t="s">
        <v>4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120"/>
      <c r="V123" s="96"/>
      <c r="W123" s="96"/>
      <c r="X123" s="96"/>
      <c r="Y123" s="96"/>
      <c r="Z123" s="96"/>
      <c r="AA123" s="80"/>
      <c r="AB123" s="80"/>
    </row>
    <row r="124" spans="1:28" s="76" customFormat="1" hidden="1" x14ac:dyDescent="0.25">
      <c r="A124" s="9" t="s">
        <v>203</v>
      </c>
      <c r="B124" s="15" t="s">
        <v>51</v>
      </c>
      <c r="C124" s="15" t="s">
        <v>38</v>
      </c>
      <c r="D124" s="94" t="s">
        <v>781</v>
      </c>
      <c r="E124" s="94" t="s">
        <v>782</v>
      </c>
      <c r="F124" s="94" t="s">
        <v>783</v>
      </c>
      <c r="G124" s="94" t="s">
        <v>784</v>
      </c>
      <c r="H124" s="94" t="s">
        <v>785</v>
      </c>
      <c r="I124" s="94" t="s">
        <v>786</v>
      </c>
      <c r="J124" s="94" t="s">
        <v>787</v>
      </c>
      <c r="K124" s="94" t="s">
        <v>788</v>
      </c>
      <c r="L124" s="94" t="s">
        <v>787</v>
      </c>
      <c r="M124" s="94" t="s">
        <v>789</v>
      </c>
      <c r="N124" s="94" t="s">
        <v>790</v>
      </c>
      <c r="O124" s="94" t="s">
        <v>791</v>
      </c>
      <c r="P124" s="94" t="s">
        <v>792</v>
      </c>
      <c r="Q124" s="94" t="s">
        <v>793</v>
      </c>
      <c r="R124" s="94" t="s">
        <v>794</v>
      </c>
      <c r="S124" s="94" t="s">
        <v>787</v>
      </c>
      <c r="T124" s="94" t="s">
        <v>795</v>
      </c>
      <c r="U124" s="118">
        <v>0</v>
      </c>
      <c r="V124" s="94" t="s">
        <v>795</v>
      </c>
      <c r="W124" s="94" t="s">
        <v>795</v>
      </c>
      <c r="X124" s="94" t="s">
        <v>796</v>
      </c>
      <c r="Y124" s="94" t="s">
        <v>796</v>
      </c>
      <c r="Z124" s="94" t="s">
        <v>795</v>
      </c>
      <c r="AA124" s="80"/>
      <c r="AB124" s="80"/>
    </row>
    <row r="125" spans="1:28" s="76" customFormat="1" ht="41.25" hidden="1" customHeight="1" x14ac:dyDescent="0.25">
      <c r="A125" s="19" t="s">
        <v>274</v>
      </c>
      <c r="B125" s="19" t="s">
        <v>550</v>
      </c>
      <c r="C125" s="15" t="s">
        <v>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21"/>
      <c r="V125" s="29"/>
      <c r="W125" s="29"/>
      <c r="X125" s="29"/>
      <c r="Y125" s="29"/>
      <c r="Z125" s="29"/>
      <c r="AA125" s="80"/>
      <c r="AB125" s="80"/>
    </row>
    <row r="126" spans="1:28" s="76" customFormat="1" ht="25.5" hidden="1" x14ac:dyDescent="0.25">
      <c r="A126" s="15" t="s">
        <v>275</v>
      </c>
      <c r="B126" s="15" t="s">
        <v>53</v>
      </c>
      <c r="C126" s="15" t="s">
        <v>4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121"/>
      <c r="V126" s="29"/>
      <c r="W126" s="29"/>
      <c r="X126" s="29"/>
      <c r="Y126" s="29"/>
      <c r="Z126" s="29"/>
      <c r="AA126" s="80"/>
      <c r="AB126" s="80"/>
    </row>
    <row r="127" spans="1:28" s="76" customFormat="1" hidden="1" x14ac:dyDescent="0.25">
      <c r="A127" s="15" t="s">
        <v>276</v>
      </c>
      <c r="B127" s="15" t="s">
        <v>2</v>
      </c>
      <c r="C127" s="15" t="s">
        <v>4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118"/>
      <c r="V127" s="94"/>
      <c r="W127" s="94"/>
      <c r="X127" s="94"/>
      <c r="Y127" s="94"/>
      <c r="Z127" s="94"/>
      <c r="AA127" s="80"/>
      <c r="AB127" s="80"/>
    </row>
    <row r="128" spans="1:28" s="76" customFormat="1" hidden="1" x14ac:dyDescent="0.25">
      <c r="A128" s="15" t="s">
        <v>277</v>
      </c>
      <c r="B128" s="15" t="s">
        <v>54</v>
      </c>
      <c r="C128" s="15" t="s">
        <v>38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118"/>
      <c r="V128" s="94"/>
      <c r="W128" s="94"/>
      <c r="X128" s="94"/>
      <c r="Y128" s="94"/>
      <c r="Z128" s="94"/>
      <c r="AA128" s="80"/>
      <c r="AB128" s="80"/>
    </row>
    <row r="129" spans="1:28" s="76" customFormat="1" hidden="1" x14ac:dyDescent="0.25">
      <c r="A129" s="20" t="s">
        <v>202</v>
      </c>
      <c r="B129" s="19" t="s">
        <v>39</v>
      </c>
      <c r="C129" s="15" t="s">
        <v>4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120"/>
      <c r="V129" s="96"/>
      <c r="W129" s="96"/>
      <c r="X129" s="96"/>
      <c r="Y129" s="96"/>
      <c r="Z129" s="96"/>
      <c r="AA129" s="80"/>
      <c r="AB129" s="80"/>
    </row>
    <row r="130" spans="1:28" s="76" customFormat="1" hidden="1" x14ac:dyDescent="0.25">
      <c r="A130" s="9" t="s">
        <v>203</v>
      </c>
      <c r="B130" s="15" t="s">
        <v>51</v>
      </c>
      <c r="C130" s="15" t="s">
        <v>38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118"/>
      <c r="V130" s="94"/>
      <c r="W130" s="94"/>
      <c r="X130" s="94"/>
      <c r="Y130" s="94"/>
      <c r="Z130" s="94"/>
      <c r="AA130" s="80"/>
      <c r="AB130" s="80"/>
    </row>
    <row r="131" spans="1:28" s="76" customFormat="1" ht="41.25" hidden="1" customHeight="1" x14ac:dyDescent="0.25">
      <c r="A131" s="19" t="s">
        <v>278</v>
      </c>
      <c r="B131" s="19" t="s">
        <v>550</v>
      </c>
      <c r="C131" s="15" t="s">
        <v>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121"/>
      <c r="V131" s="29"/>
      <c r="W131" s="29"/>
      <c r="X131" s="29"/>
      <c r="Y131" s="29"/>
      <c r="Z131" s="29"/>
      <c r="AA131" s="80"/>
      <c r="AB131" s="80"/>
    </row>
    <row r="132" spans="1:28" s="76" customFormat="1" ht="25.5" hidden="1" x14ac:dyDescent="0.25">
      <c r="A132" s="15" t="s">
        <v>279</v>
      </c>
      <c r="B132" s="15" t="s">
        <v>53</v>
      </c>
      <c r="C132" s="15" t="s">
        <v>4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121"/>
      <c r="V132" s="29"/>
      <c r="W132" s="29"/>
      <c r="X132" s="29"/>
      <c r="Y132" s="29"/>
      <c r="Z132" s="29"/>
      <c r="AA132" s="80"/>
      <c r="AB132" s="80"/>
    </row>
    <row r="133" spans="1:28" s="76" customFormat="1" hidden="1" x14ac:dyDescent="0.25">
      <c r="A133" s="15" t="s">
        <v>280</v>
      </c>
      <c r="B133" s="15" t="s">
        <v>2</v>
      </c>
      <c r="C133" s="15" t="s">
        <v>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118"/>
      <c r="V133" s="94"/>
      <c r="W133" s="94"/>
      <c r="X133" s="94"/>
      <c r="Y133" s="94"/>
      <c r="Z133" s="94"/>
      <c r="AA133" s="80"/>
      <c r="AB133" s="80"/>
    </row>
    <row r="134" spans="1:28" s="76" customFormat="1" hidden="1" x14ac:dyDescent="0.25">
      <c r="A134" s="15" t="s">
        <v>281</v>
      </c>
      <c r="B134" s="15" t="s">
        <v>54</v>
      </c>
      <c r="C134" s="15" t="s">
        <v>38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18"/>
      <c r="V134" s="94"/>
      <c r="W134" s="94"/>
      <c r="X134" s="94"/>
      <c r="Y134" s="94"/>
      <c r="Z134" s="94"/>
      <c r="AA134" s="80"/>
      <c r="AB134" s="80"/>
    </row>
    <row r="135" spans="1:28" s="76" customFormat="1" hidden="1" x14ac:dyDescent="0.25">
      <c r="A135" s="20" t="s">
        <v>202</v>
      </c>
      <c r="B135" s="19" t="s">
        <v>39</v>
      </c>
      <c r="C135" s="15" t="s">
        <v>4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120"/>
      <c r="V135" s="96"/>
      <c r="W135" s="96"/>
      <c r="X135" s="96"/>
      <c r="Y135" s="96"/>
      <c r="Z135" s="96"/>
      <c r="AA135" s="80"/>
      <c r="AB135" s="80"/>
    </row>
    <row r="136" spans="1:28" s="76" customFormat="1" hidden="1" x14ac:dyDescent="0.25">
      <c r="A136" s="9" t="s">
        <v>203</v>
      </c>
      <c r="B136" s="15" t="s">
        <v>51</v>
      </c>
      <c r="C136" s="15" t="s">
        <v>38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118"/>
      <c r="V136" s="94"/>
      <c r="W136" s="94"/>
      <c r="X136" s="94"/>
      <c r="Y136" s="94"/>
      <c r="Z136" s="94"/>
      <c r="AA136" s="80"/>
      <c r="AB136" s="80"/>
    </row>
    <row r="137" spans="1:28" s="76" customFormat="1" ht="41.25" hidden="1" customHeight="1" x14ac:dyDescent="0.25">
      <c r="A137" s="19" t="s">
        <v>282</v>
      </c>
      <c r="B137" s="19" t="s">
        <v>550</v>
      </c>
      <c r="C137" s="15" t="s">
        <v>4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121"/>
      <c r="V137" s="29"/>
      <c r="W137" s="29"/>
      <c r="X137" s="29"/>
      <c r="Y137" s="29"/>
      <c r="Z137" s="29"/>
      <c r="AA137" s="80"/>
      <c r="AB137" s="80"/>
    </row>
    <row r="138" spans="1:28" s="76" customFormat="1" ht="25.5" hidden="1" x14ac:dyDescent="0.25">
      <c r="A138" s="15" t="s">
        <v>283</v>
      </c>
      <c r="B138" s="15" t="s">
        <v>53</v>
      </c>
      <c r="C138" s="15" t="s">
        <v>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121"/>
      <c r="V138" s="29"/>
      <c r="W138" s="29"/>
      <c r="X138" s="29"/>
      <c r="Y138" s="29"/>
      <c r="Z138" s="29"/>
      <c r="AA138" s="80"/>
      <c r="AB138" s="80"/>
    </row>
    <row r="139" spans="1:28" s="76" customFormat="1" hidden="1" x14ac:dyDescent="0.25">
      <c r="A139" s="15" t="s">
        <v>284</v>
      </c>
      <c r="B139" s="15" t="s">
        <v>2</v>
      </c>
      <c r="C139" s="15" t="s">
        <v>4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118"/>
      <c r="V139" s="94"/>
      <c r="W139" s="94"/>
      <c r="X139" s="94"/>
      <c r="Y139" s="94"/>
      <c r="Z139" s="94"/>
      <c r="AA139" s="80"/>
      <c r="AB139" s="80"/>
    </row>
    <row r="140" spans="1:28" s="76" customFormat="1" hidden="1" x14ac:dyDescent="0.25">
      <c r="A140" s="15" t="s">
        <v>285</v>
      </c>
      <c r="B140" s="15" t="s">
        <v>54</v>
      </c>
      <c r="C140" s="15" t="s">
        <v>38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118"/>
      <c r="V140" s="94"/>
      <c r="W140" s="94"/>
      <c r="X140" s="94"/>
      <c r="Y140" s="94"/>
      <c r="Z140" s="94"/>
      <c r="AA140" s="80"/>
      <c r="AB140" s="80"/>
    </row>
    <row r="141" spans="1:28" s="76" customFormat="1" hidden="1" x14ac:dyDescent="0.25">
      <c r="A141" s="20" t="s">
        <v>202</v>
      </c>
      <c r="B141" s="19" t="s">
        <v>39</v>
      </c>
      <c r="C141" s="15" t="s">
        <v>4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120"/>
      <c r="V141" s="96"/>
      <c r="W141" s="96"/>
      <c r="X141" s="96"/>
      <c r="Y141" s="96"/>
      <c r="Z141" s="96"/>
      <c r="AA141" s="80"/>
      <c r="AB141" s="80"/>
    </row>
    <row r="142" spans="1:28" s="76" customFormat="1" hidden="1" x14ac:dyDescent="0.25">
      <c r="A142" s="9" t="s">
        <v>203</v>
      </c>
      <c r="B142" s="15" t="s">
        <v>51</v>
      </c>
      <c r="C142" s="15" t="s">
        <v>38</v>
      </c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118"/>
      <c r="V142" s="94"/>
      <c r="W142" s="94"/>
      <c r="X142" s="94"/>
      <c r="Y142" s="94"/>
      <c r="Z142" s="94"/>
      <c r="AA142" s="80"/>
      <c r="AB142" s="80"/>
    </row>
    <row r="143" spans="1:28" s="76" customFormat="1" ht="41.25" hidden="1" customHeight="1" x14ac:dyDescent="0.25">
      <c r="A143" s="19" t="s">
        <v>286</v>
      </c>
      <c r="B143" s="19" t="s">
        <v>550</v>
      </c>
      <c r="C143" s="15" t="s">
        <v>4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121"/>
      <c r="V143" s="29"/>
      <c r="W143" s="29"/>
      <c r="X143" s="29"/>
      <c r="Y143" s="29"/>
      <c r="Z143" s="29"/>
      <c r="AA143" s="80"/>
      <c r="AB143" s="80"/>
    </row>
    <row r="144" spans="1:28" s="76" customFormat="1" ht="25.5" hidden="1" x14ac:dyDescent="0.25">
      <c r="A144" s="15" t="s">
        <v>287</v>
      </c>
      <c r="B144" s="15" t="s">
        <v>53</v>
      </c>
      <c r="C144" s="15" t="s">
        <v>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121"/>
      <c r="V144" s="29"/>
      <c r="W144" s="29"/>
      <c r="X144" s="29"/>
      <c r="Y144" s="29"/>
      <c r="Z144" s="29"/>
      <c r="AA144" s="80"/>
      <c r="AB144" s="80"/>
    </row>
    <row r="145" spans="1:28" s="76" customFormat="1" hidden="1" x14ac:dyDescent="0.25">
      <c r="A145" s="15" t="s">
        <v>288</v>
      </c>
      <c r="B145" s="15" t="s">
        <v>2</v>
      </c>
      <c r="C145" s="15" t="s">
        <v>4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118"/>
      <c r="V145" s="94"/>
      <c r="W145" s="94"/>
      <c r="X145" s="94"/>
      <c r="Y145" s="94"/>
      <c r="Z145" s="94"/>
      <c r="AA145" s="80"/>
      <c r="AB145" s="80"/>
    </row>
    <row r="146" spans="1:28" s="76" customFormat="1" hidden="1" x14ac:dyDescent="0.25">
      <c r="A146" s="15" t="s">
        <v>289</v>
      </c>
      <c r="B146" s="15" t="s">
        <v>54</v>
      </c>
      <c r="C146" s="15" t="s">
        <v>38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118"/>
      <c r="V146" s="94"/>
      <c r="W146" s="94"/>
      <c r="X146" s="94"/>
      <c r="Y146" s="94"/>
      <c r="Z146" s="94"/>
      <c r="AA146" s="80"/>
      <c r="AB146" s="80"/>
    </row>
    <row r="147" spans="1:28" s="76" customFormat="1" ht="39" customHeight="1" x14ac:dyDescent="0.25">
      <c r="A147" s="213" t="s">
        <v>55</v>
      </c>
      <c r="B147" s="213"/>
      <c r="C147" s="21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24"/>
      <c r="V147" s="104"/>
      <c r="W147" s="104"/>
      <c r="X147" s="104"/>
      <c r="Y147" s="104"/>
      <c r="Z147" s="104"/>
      <c r="AA147" s="80"/>
      <c r="AB147" s="80"/>
    </row>
    <row r="148" spans="1:28" s="76" customFormat="1" x14ac:dyDescent="0.25">
      <c r="A148" s="9" t="s">
        <v>24</v>
      </c>
      <c r="B148" s="97" t="s">
        <v>56</v>
      </c>
      <c r="C148" s="15" t="s">
        <v>29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1</v>
      </c>
      <c r="S148" s="29">
        <v>0</v>
      </c>
      <c r="T148" s="29">
        <v>0</v>
      </c>
      <c r="U148" s="121">
        <v>0</v>
      </c>
      <c r="V148" s="29">
        <v>0</v>
      </c>
      <c r="W148" s="29">
        <v>0</v>
      </c>
      <c r="X148" s="29">
        <v>3</v>
      </c>
      <c r="Y148" s="29">
        <v>0</v>
      </c>
      <c r="Z148" s="29">
        <v>0</v>
      </c>
      <c r="AA148" s="80"/>
      <c r="AB148" s="80"/>
    </row>
    <row r="149" spans="1:28" s="76" customFormat="1" x14ac:dyDescent="0.25">
      <c r="A149" s="9" t="s">
        <v>25</v>
      </c>
      <c r="B149" s="97" t="s">
        <v>57</v>
      </c>
      <c r="C149" s="15" t="s">
        <v>29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1</v>
      </c>
      <c r="S149" s="29">
        <v>0</v>
      </c>
      <c r="T149" s="29">
        <v>0</v>
      </c>
      <c r="U149" s="121">
        <v>0</v>
      </c>
      <c r="V149" s="29">
        <v>0</v>
      </c>
      <c r="W149" s="29">
        <v>0</v>
      </c>
      <c r="X149" s="29">
        <v>3</v>
      </c>
      <c r="Y149" s="29">
        <v>0</v>
      </c>
      <c r="Z149" s="29">
        <v>0</v>
      </c>
      <c r="AA149" s="80"/>
      <c r="AB149" s="80"/>
    </row>
    <row r="150" spans="1:28" s="76" customFormat="1" ht="25.5" x14ac:dyDescent="0.25">
      <c r="A150" s="9" t="s">
        <v>26</v>
      </c>
      <c r="B150" s="97" t="s">
        <v>797</v>
      </c>
      <c r="C150" s="15" t="s">
        <v>29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121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80"/>
      <c r="AB150" s="80"/>
    </row>
    <row r="151" spans="1:28" s="76" customFormat="1" x14ac:dyDescent="0.25">
      <c r="A151" s="9" t="s">
        <v>27</v>
      </c>
      <c r="B151" s="97" t="s">
        <v>59</v>
      </c>
      <c r="C151" s="15" t="s">
        <v>38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118">
        <v>0</v>
      </c>
      <c r="V151" s="94">
        <v>0</v>
      </c>
      <c r="W151" s="94">
        <v>0</v>
      </c>
      <c r="X151" s="94">
        <v>0</v>
      </c>
      <c r="Y151" s="94">
        <v>0</v>
      </c>
      <c r="Z151" s="94">
        <v>0</v>
      </c>
      <c r="AA151" s="80"/>
      <c r="AB151" s="80"/>
    </row>
    <row r="152" spans="1:28" ht="45.75" customHeight="1" x14ac:dyDescent="0.25">
      <c r="A152" s="213" t="s">
        <v>60</v>
      </c>
      <c r="B152" s="213"/>
      <c r="C152" s="213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>
        <v>0</v>
      </c>
      <c r="S152" s="100"/>
      <c r="T152" s="100"/>
      <c r="U152" s="119"/>
      <c r="V152" s="100"/>
      <c r="W152" s="100"/>
      <c r="X152" s="100"/>
      <c r="Y152" s="100"/>
      <c r="Z152" s="100"/>
    </row>
    <row r="153" spans="1:28" ht="25.5" x14ac:dyDescent="0.25">
      <c r="A153" s="9" t="s">
        <v>28</v>
      </c>
      <c r="B153" s="15" t="s">
        <v>42</v>
      </c>
      <c r="C153" s="15" t="s">
        <v>38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118">
        <v>0</v>
      </c>
      <c r="V153" s="94">
        <v>0</v>
      </c>
      <c r="W153" s="94">
        <v>0</v>
      </c>
      <c r="X153" s="94">
        <v>0</v>
      </c>
      <c r="Y153" s="94">
        <v>0</v>
      </c>
      <c r="Z153" s="94">
        <v>0</v>
      </c>
    </row>
    <row r="154" spans="1:28" ht="25.5" x14ac:dyDescent="0.25">
      <c r="A154" s="9" t="s">
        <v>30</v>
      </c>
      <c r="B154" s="15" t="s">
        <v>43</v>
      </c>
      <c r="C154" s="15" t="s">
        <v>38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  <c r="U154" s="118">
        <v>0</v>
      </c>
      <c r="V154" s="94">
        <v>0</v>
      </c>
      <c r="W154" s="94">
        <v>0</v>
      </c>
      <c r="X154" s="94">
        <v>0</v>
      </c>
      <c r="Y154" s="94">
        <v>0</v>
      </c>
      <c r="Z154" s="94">
        <v>0</v>
      </c>
    </row>
    <row r="155" spans="1:28" ht="25.5" x14ac:dyDescent="0.25">
      <c r="A155" s="9" t="s">
        <v>31</v>
      </c>
      <c r="B155" s="15" t="s">
        <v>44</v>
      </c>
      <c r="C155" s="15" t="s">
        <v>38</v>
      </c>
      <c r="D155" s="105" t="s">
        <v>798</v>
      </c>
      <c r="E155" s="106" t="s">
        <v>799</v>
      </c>
      <c r="F155" s="106" t="s">
        <v>800</v>
      </c>
      <c r="G155" s="106" t="s">
        <v>801</v>
      </c>
      <c r="H155" s="106" t="s">
        <v>435</v>
      </c>
      <c r="I155" s="106">
        <v>1935525.9999999998</v>
      </c>
      <c r="J155" s="106">
        <v>0</v>
      </c>
      <c r="K155" s="106">
        <v>0</v>
      </c>
      <c r="L155" s="106" t="s">
        <v>437</v>
      </c>
      <c r="M155" s="106">
        <v>0</v>
      </c>
      <c r="N155" s="106" t="s">
        <v>802</v>
      </c>
      <c r="O155" s="106" t="s">
        <v>803</v>
      </c>
      <c r="P155" s="106" t="s">
        <v>804</v>
      </c>
      <c r="Q155" s="106" t="s">
        <v>805</v>
      </c>
      <c r="R155" s="106"/>
      <c r="S155" s="106" t="s">
        <v>806</v>
      </c>
      <c r="T155" s="106" t="s">
        <v>807</v>
      </c>
      <c r="U155" s="125">
        <v>0</v>
      </c>
      <c r="V155" s="106" t="s">
        <v>808</v>
      </c>
      <c r="W155" s="106">
        <v>0</v>
      </c>
      <c r="X155" s="106" t="s">
        <v>809</v>
      </c>
      <c r="Y155" s="106" t="s">
        <v>810</v>
      </c>
      <c r="Z155" s="106">
        <v>0</v>
      </c>
    </row>
    <row r="156" spans="1:28" ht="25.5" x14ac:dyDescent="0.25">
      <c r="A156" s="9" t="s">
        <v>32</v>
      </c>
      <c r="B156" s="15" t="s">
        <v>48</v>
      </c>
      <c r="C156" s="15" t="s">
        <v>38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  <c r="U156" s="118">
        <v>0</v>
      </c>
      <c r="V156" s="94">
        <v>0</v>
      </c>
      <c r="W156" s="94">
        <v>0</v>
      </c>
      <c r="X156" s="94">
        <v>0</v>
      </c>
      <c r="Y156" s="94">
        <v>0</v>
      </c>
      <c r="Z156" s="94">
        <v>0</v>
      </c>
    </row>
    <row r="157" spans="1:28" ht="25.5" x14ac:dyDescent="0.25">
      <c r="A157" s="9" t="s">
        <v>33</v>
      </c>
      <c r="B157" s="15" t="s">
        <v>49</v>
      </c>
      <c r="C157" s="15" t="s">
        <v>38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  <c r="U157" s="118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</row>
    <row r="158" spans="1:28" ht="48" customHeight="1" x14ac:dyDescent="0.25">
      <c r="A158" s="9" t="s">
        <v>34</v>
      </c>
      <c r="B158" s="15" t="s">
        <v>50</v>
      </c>
      <c r="C158" s="15" t="s">
        <v>38</v>
      </c>
      <c r="D158" s="94" t="s">
        <v>811</v>
      </c>
      <c r="E158" s="94" t="s">
        <v>812</v>
      </c>
      <c r="F158" s="94" t="s">
        <v>813</v>
      </c>
      <c r="G158" s="94" t="s">
        <v>814</v>
      </c>
      <c r="H158" s="94" t="s">
        <v>527</v>
      </c>
      <c r="I158" s="94" t="s">
        <v>815</v>
      </c>
      <c r="J158" s="94" t="s">
        <v>816</v>
      </c>
      <c r="K158" s="94" t="s">
        <v>817</v>
      </c>
      <c r="L158" s="94" t="s">
        <v>818</v>
      </c>
      <c r="M158" s="94" t="s">
        <v>819</v>
      </c>
      <c r="N158" s="94" t="s">
        <v>820</v>
      </c>
      <c r="O158" s="94" t="s">
        <v>821</v>
      </c>
      <c r="P158" s="94" t="s">
        <v>822</v>
      </c>
      <c r="Q158" s="94" t="s">
        <v>823</v>
      </c>
      <c r="R158" s="94" t="s">
        <v>824</v>
      </c>
      <c r="S158" s="94" t="s">
        <v>825</v>
      </c>
      <c r="T158" s="94" t="s">
        <v>826</v>
      </c>
      <c r="U158" s="118">
        <v>0</v>
      </c>
      <c r="V158" s="94" t="s">
        <v>827</v>
      </c>
      <c r="W158" s="94" t="s">
        <v>828</v>
      </c>
      <c r="X158" s="94" t="s">
        <v>829</v>
      </c>
      <c r="Y158" s="94" t="s">
        <v>830</v>
      </c>
      <c r="Z158" s="94" t="s">
        <v>831</v>
      </c>
    </row>
    <row r="159" spans="1:28" ht="42.75" customHeight="1" x14ac:dyDescent="0.25">
      <c r="A159" s="213" t="s">
        <v>138</v>
      </c>
      <c r="B159" s="213"/>
      <c r="C159" s="213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19"/>
      <c r="V159" s="100"/>
      <c r="W159" s="100"/>
      <c r="X159" s="100"/>
      <c r="Y159" s="100"/>
      <c r="Z159" s="100"/>
    </row>
    <row r="160" spans="1:28" x14ac:dyDescent="0.25">
      <c r="A160" s="13" t="s">
        <v>73</v>
      </c>
      <c r="B160" s="19" t="s">
        <v>40</v>
      </c>
      <c r="C160" s="15" t="s">
        <v>4</v>
      </c>
      <c r="D160" s="96" t="s">
        <v>74</v>
      </c>
      <c r="E160" s="96" t="s">
        <v>74</v>
      </c>
      <c r="F160" s="96" t="s">
        <v>74</v>
      </c>
      <c r="G160" s="96" t="s">
        <v>74</v>
      </c>
      <c r="H160" s="96" t="s">
        <v>74</v>
      </c>
      <c r="I160" s="96" t="s">
        <v>74</v>
      </c>
      <c r="J160" s="96" t="s">
        <v>74</v>
      </c>
      <c r="K160" s="96" t="s">
        <v>74</v>
      </c>
      <c r="L160" s="96" t="s">
        <v>74</v>
      </c>
      <c r="M160" s="96" t="s">
        <v>74</v>
      </c>
      <c r="N160" s="96" t="s">
        <v>74</v>
      </c>
      <c r="O160" s="96" t="s">
        <v>74</v>
      </c>
      <c r="P160" s="96" t="s">
        <v>74</v>
      </c>
      <c r="Q160" s="96" t="s">
        <v>74</v>
      </c>
      <c r="R160" s="96" t="s">
        <v>74</v>
      </c>
      <c r="S160" s="96" t="s">
        <v>74</v>
      </c>
      <c r="T160" s="96" t="s">
        <v>74</v>
      </c>
      <c r="U160" s="120" t="s">
        <v>74</v>
      </c>
      <c r="V160" s="96" t="s">
        <v>74</v>
      </c>
      <c r="W160" s="96" t="s">
        <v>74</v>
      </c>
      <c r="X160" s="96" t="s">
        <v>74</v>
      </c>
      <c r="Y160" s="96" t="s">
        <v>74</v>
      </c>
      <c r="Z160" s="96" t="s">
        <v>74</v>
      </c>
    </row>
    <row r="161" spans="1:28" x14ac:dyDescent="0.25">
      <c r="A161" s="9" t="s">
        <v>75</v>
      </c>
      <c r="B161" s="15" t="s">
        <v>2</v>
      </c>
      <c r="C161" s="15" t="s">
        <v>4</v>
      </c>
      <c r="D161" s="29" t="s">
        <v>225</v>
      </c>
      <c r="E161" s="29" t="s">
        <v>225</v>
      </c>
      <c r="F161" s="29" t="s">
        <v>225</v>
      </c>
      <c r="G161" s="29" t="s">
        <v>225</v>
      </c>
      <c r="H161" s="29" t="s">
        <v>225</v>
      </c>
      <c r="I161" s="29" t="s">
        <v>225</v>
      </c>
      <c r="J161" s="29" t="s">
        <v>225</v>
      </c>
      <c r="K161" s="29" t="s">
        <v>225</v>
      </c>
      <c r="L161" s="29" t="s">
        <v>225</v>
      </c>
      <c r="M161" s="29" t="s">
        <v>225</v>
      </c>
      <c r="N161" s="29" t="s">
        <v>225</v>
      </c>
      <c r="O161" s="29" t="s">
        <v>225</v>
      </c>
      <c r="P161" s="29" t="s">
        <v>225</v>
      </c>
      <c r="Q161" s="29" t="s">
        <v>225</v>
      </c>
      <c r="R161" s="29" t="s">
        <v>225</v>
      </c>
      <c r="S161" s="29" t="s">
        <v>225</v>
      </c>
      <c r="T161" s="29" t="s">
        <v>225</v>
      </c>
      <c r="U161" s="121" t="s">
        <v>225</v>
      </c>
      <c r="V161" s="29" t="s">
        <v>225</v>
      </c>
      <c r="W161" s="29" t="s">
        <v>225</v>
      </c>
      <c r="X161" s="29" t="s">
        <v>225</v>
      </c>
      <c r="Y161" s="29" t="s">
        <v>225</v>
      </c>
      <c r="Z161" s="29" t="s">
        <v>225</v>
      </c>
    </row>
    <row r="162" spans="1:28" ht="25.5" x14ac:dyDescent="0.25">
      <c r="A162" s="9" t="s">
        <v>76</v>
      </c>
      <c r="B162" s="15" t="s">
        <v>61</v>
      </c>
      <c r="C162" s="15" t="s">
        <v>224</v>
      </c>
      <c r="D162" s="29">
        <v>391289</v>
      </c>
      <c r="E162" s="29">
        <v>1873360</v>
      </c>
      <c r="F162" s="29">
        <v>156520</v>
      </c>
      <c r="G162" s="29">
        <v>161530</v>
      </c>
      <c r="H162" s="29">
        <v>247725</v>
      </c>
      <c r="I162" s="29">
        <v>1150004</v>
      </c>
      <c r="J162" s="29">
        <v>825183</v>
      </c>
      <c r="K162" s="29">
        <v>1340306</v>
      </c>
      <c r="L162" s="29">
        <v>681484</v>
      </c>
      <c r="M162" s="29">
        <v>0</v>
      </c>
      <c r="N162" s="29">
        <v>1524320</v>
      </c>
      <c r="O162" s="29">
        <v>494190</v>
      </c>
      <c r="P162" s="29">
        <v>522850</v>
      </c>
      <c r="Q162" s="29">
        <v>496180</v>
      </c>
      <c r="R162" s="29">
        <v>1656860</v>
      </c>
      <c r="S162" s="29">
        <v>626460</v>
      </c>
      <c r="T162" s="29">
        <v>666770</v>
      </c>
      <c r="U162" s="121">
        <v>0</v>
      </c>
      <c r="V162" s="29">
        <v>749080</v>
      </c>
      <c r="W162" s="29">
        <v>0</v>
      </c>
      <c r="X162" s="29">
        <v>360234</v>
      </c>
      <c r="Y162" s="29">
        <v>321019</v>
      </c>
      <c r="Z162" s="29">
        <v>77051</v>
      </c>
      <c r="AA162" s="98">
        <v>14322415</v>
      </c>
      <c r="AB162" s="98">
        <v>14322415</v>
      </c>
    </row>
    <row r="163" spans="1:28" ht="25.5" hidden="1" x14ac:dyDescent="0.25">
      <c r="A163" s="9"/>
      <c r="B163" s="107" t="s">
        <v>44</v>
      </c>
      <c r="C163" s="15"/>
      <c r="D163" s="29" t="s">
        <v>832</v>
      </c>
      <c r="E163" s="29" t="s">
        <v>833</v>
      </c>
      <c r="F163" s="29" t="s">
        <v>834</v>
      </c>
      <c r="G163" s="29" t="s">
        <v>835</v>
      </c>
      <c r="H163" s="29" t="s">
        <v>836</v>
      </c>
      <c r="I163" s="29" t="s">
        <v>837</v>
      </c>
      <c r="J163" s="29">
        <v>0</v>
      </c>
      <c r="K163" s="29">
        <v>0</v>
      </c>
      <c r="L163" s="29" t="s">
        <v>838</v>
      </c>
      <c r="M163" s="29">
        <v>0</v>
      </c>
      <c r="N163" s="29" t="s">
        <v>839</v>
      </c>
      <c r="O163" s="29" t="s">
        <v>840</v>
      </c>
      <c r="P163" s="29" t="s">
        <v>841</v>
      </c>
      <c r="Q163" s="29" t="s">
        <v>842</v>
      </c>
      <c r="R163" s="29" t="s">
        <v>843</v>
      </c>
      <c r="S163" s="29" t="s">
        <v>844</v>
      </c>
      <c r="T163" s="29" t="s">
        <v>845</v>
      </c>
      <c r="U163" s="121">
        <v>0</v>
      </c>
      <c r="V163" s="29" t="s">
        <v>846</v>
      </c>
      <c r="W163" s="29">
        <v>0</v>
      </c>
      <c r="X163" s="29" t="s">
        <v>847</v>
      </c>
      <c r="Y163" s="29" t="s">
        <v>848</v>
      </c>
      <c r="Z163" s="29">
        <v>0</v>
      </c>
      <c r="AA163" s="98" t="s">
        <v>849</v>
      </c>
      <c r="AB163" s="98" t="s">
        <v>849</v>
      </c>
    </row>
    <row r="164" spans="1:28" ht="26.25" customHeight="1" x14ac:dyDescent="0.25">
      <c r="A164" s="9" t="s">
        <v>77</v>
      </c>
      <c r="B164" s="15" t="s">
        <v>62</v>
      </c>
      <c r="C164" s="15" t="s">
        <v>38</v>
      </c>
      <c r="D164" s="29" t="s">
        <v>850</v>
      </c>
      <c r="E164" s="29" t="s">
        <v>851</v>
      </c>
      <c r="F164" s="29" t="s">
        <v>852</v>
      </c>
      <c r="G164" s="29" t="s">
        <v>853</v>
      </c>
      <c r="H164" s="29" t="s">
        <v>854</v>
      </c>
      <c r="I164" s="29" t="s">
        <v>855</v>
      </c>
      <c r="J164" s="29" t="s">
        <v>856</v>
      </c>
      <c r="K164" s="29" t="s">
        <v>857</v>
      </c>
      <c r="L164" s="29" t="s">
        <v>858</v>
      </c>
      <c r="M164" s="29" t="s">
        <v>859</v>
      </c>
      <c r="N164" s="29" t="s">
        <v>860</v>
      </c>
      <c r="O164" s="29" t="s">
        <v>861</v>
      </c>
      <c r="P164" s="29" t="s">
        <v>862</v>
      </c>
      <c r="Q164" s="29" t="s">
        <v>863</v>
      </c>
      <c r="R164" s="29" t="s">
        <v>864</v>
      </c>
      <c r="S164" s="29" t="s">
        <v>865</v>
      </c>
      <c r="T164" s="29" t="s">
        <v>866</v>
      </c>
      <c r="U164" s="121">
        <v>0</v>
      </c>
      <c r="V164" s="29" t="s">
        <v>867</v>
      </c>
      <c r="W164" s="29" t="s">
        <v>868</v>
      </c>
      <c r="X164" s="29" t="s">
        <v>869</v>
      </c>
      <c r="Y164" s="29" t="s">
        <v>870</v>
      </c>
      <c r="Z164" s="29" t="s">
        <v>871</v>
      </c>
      <c r="AA164" s="98" t="s">
        <v>872</v>
      </c>
      <c r="AB164" s="98" t="s">
        <v>872</v>
      </c>
    </row>
    <row r="165" spans="1:28" ht="31.5" customHeight="1" x14ac:dyDescent="0.25">
      <c r="A165" s="9" t="s">
        <v>78</v>
      </c>
      <c r="B165" s="15" t="s">
        <v>63</v>
      </c>
      <c r="C165" s="15" t="s">
        <v>38</v>
      </c>
      <c r="D165" s="29" t="s">
        <v>873</v>
      </c>
      <c r="E165" s="29" t="s">
        <v>874</v>
      </c>
      <c r="F165" s="29" t="s">
        <v>875</v>
      </c>
      <c r="G165" s="29" t="s">
        <v>876</v>
      </c>
      <c r="H165" s="29" t="s">
        <v>877</v>
      </c>
      <c r="I165" s="29" t="s">
        <v>878</v>
      </c>
      <c r="J165" s="29" t="s">
        <v>879</v>
      </c>
      <c r="K165" s="29" t="s">
        <v>880</v>
      </c>
      <c r="L165" s="29" t="s">
        <v>881</v>
      </c>
      <c r="M165" s="29" t="s">
        <v>882</v>
      </c>
      <c r="N165" s="29" t="s">
        <v>883</v>
      </c>
      <c r="O165" s="29" t="s">
        <v>884</v>
      </c>
      <c r="P165" s="29" t="s">
        <v>885</v>
      </c>
      <c r="Q165" s="29" t="s">
        <v>886</v>
      </c>
      <c r="R165" s="29" t="s">
        <v>887</v>
      </c>
      <c r="S165" s="29" t="s">
        <v>888</v>
      </c>
      <c r="T165" s="29" t="s">
        <v>889</v>
      </c>
      <c r="U165" s="121">
        <v>0</v>
      </c>
      <c r="V165" s="29" t="s">
        <v>890</v>
      </c>
      <c r="W165" s="29" t="s">
        <v>891</v>
      </c>
      <c r="X165" s="29" t="s">
        <v>892</v>
      </c>
      <c r="Y165" s="29" t="s">
        <v>893</v>
      </c>
      <c r="Z165" s="29" t="s">
        <v>894</v>
      </c>
    </row>
    <row r="166" spans="1:28" x14ac:dyDescent="0.25">
      <c r="A166" s="9" t="s">
        <v>79</v>
      </c>
      <c r="B166" s="15" t="s">
        <v>64</v>
      </c>
      <c r="C166" s="15" t="s">
        <v>38</v>
      </c>
      <c r="D166" s="29" t="s">
        <v>895</v>
      </c>
      <c r="E166" s="29" t="s">
        <v>896</v>
      </c>
      <c r="F166" s="29" t="s">
        <v>897</v>
      </c>
      <c r="G166" s="29" t="s">
        <v>898</v>
      </c>
      <c r="H166" s="29" t="s">
        <v>899</v>
      </c>
      <c r="I166" s="29" t="s">
        <v>900</v>
      </c>
      <c r="J166" s="29" t="s">
        <v>901</v>
      </c>
      <c r="K166" s="29" t="s">
        <v>902</v>
      </c>
      <c r="L166" s="29" t="s">
        <v>903</v>
      </c>
      <c r="M166" s="29" t="s">
        <v>904</v>
      </c>
      <c r="N166" s="29" t="s">
        <v>905</v>
      </c>
      <c r="O166" s="29" t="s">
        <v>906</v>
      </c>
      <c r="P166" s="29" t="s">
        <v>907</v>
      </c>
      <c r="Q166" s="29" t="s">
        <v>908</v>
      </c>
      <c r="R166" s="29" t="s">
        <v>909</v>
      </c>
      <c r="S166" s="29" t="s">
        <v>910</v>
      </c>
      <c r="T166" s="29" t="s">
        <v>911</v>
      </c>
      <c r="U166" s="121">
        <v>0</v>
      </c>
      <c r="V166" s="29" t="s">
        <v>912</v>
      </c>
      <c r="W166" s="29" t="s">
        <v>913</v>
      </c>
      <c r="X166" s="29" t="s">
        <v>914</v>
      </c>
      <c r="Y166" s="29" t="s">
        <v>915</v>
      </c>
      <c r="Z166" s="29" t="s">
        <v>916</v>
      </c>
    </row>
    <row r="167" spans="1:28" ht="25.5" x14ac:dyDescent="0.25">
      <c r="A167" s="9" t="s">
        <v>80</v>
      </c>
      <c r="B167" s="15" t="s">
        <v>65</v>
      </c>
      <c r="C167" s="15" t="s">
        <v>38</v>
      </c>
      <c r="D167" s="29" t="s">
        <v>917</v>
      </c>
      <c r="E167" s="29" t="s">
        <v>918</v>
      </c>
      <c r="F167" s="29" t="s">
        <v>919</v>
      </c>
      <c r="G167" s="29" t="s">
        <v>920</v>
      </c>
      <c r="H167" s="29" t="s">
        <v>921</v>
      </c>
      <c r="I167" s="29" t="s">
        <v>922</v>
      </c>
      <c r="J167" s="29" t="s">
        <v>923</v>
      </c>
      <c r="K167" s="29" t="s">
        <v>924</v>
      </c>
      <c r="L167" s="29" t="s">
        <v>925</v>
      </c>
      <c r="M167" s="29">
        <v>0</v>
      </c>
      <c r="N167" s="29" t="s">
        <v>926</v>
      </c>
      <c r="O167" s="29" t="s">
        <v>927</v>
      </c>
      <c r="P167" s="29" t="s">
        <v>928</v>
      </c>
      <c r="Q167" s="29" t="s">
        <v>929</v>
      </c>
      <c r="R167" s="29" t="s">
        <v>930</v>
      </c>
      <c r="S167" s="29" t="s">
        <v>931</v>
      </c>
      <c r="T167" s="29" t="s">
        <v>932</v>
      </c>
      <c r="U167" s="121"/>
      <c r="V167" s="29" t="s">
        <v>933</v>
      </c>
      <c r="W167" s="29">
        <v>0</v>
      </c>
      <c r="X167" s="29" t="s">
        <v>934</v>
      </c>
      <c r="Y167" s="29" t="s">
        <v>935</v>
      </c>
      <c r="Z167" s="29" t="s">
        <v>936</v>
      </c>
      <c r="AA167" s="98" t="s">
        <v>937</v>
      </c>
      <c r="AB167" s="98" t="s">
        <v>937</v>
      </c>
    </row>
    <row r="168" spans="1:28" ht="25.5" x14ac:dyDescent="0.25">
      <c r="A168" s="9" t="s">
        <v>81</v>
      </c>
      <c r="B168" s="15" t="s">
        <v>66</v>
      </c>
      <c r="C168" s="15" t="s">
        <v>38</v>
      </c>
      <c r="D168" s="29" t="s">
        <v>1602</v>
      </c>
      <c r="E168" s="29" t="s">
        <v>1603</v>
      </c>
      <c r="F168" s="29" t="s">
        <v>1604</v>
      </c>
      <c r="G168" s="29" t="s">
        <v>1605</v>
      </c>
      <c r="H168" s="29" t="s">
        <v>1606</v>
      </c>
      <c r="I168" s="29" t="s">
        <v>1607</v>
      </c>
      <c r="J168" s="29" t="s">
        <v>1608</v>
      </c>
      <c r="K168" s="29" t="s">
        <v>1609</v>
      </c>
      <c r="L168" s="29" t="s">
        <v>1610</v>
      </c>
      <c r="M168" s="29" t="s">
        <v>1611</v>
      </c>
      <c r="N168" s="29" t="s">
        <v>1612</v>
      </c>
      <c r="O168" s="29" t="s">
        <v>1613</v>
      </c>
      <c r="P168" s="29" t="s">
        <v>1614</v>
      </c>
      <c r="Q168" s="29" t="s">
        <v>1615</v>
      </c>
      <c r="R168" s="29" t="s">
        <v>1616</v>
      </c>
      <c r="S168" s="29" t="s">
        <v>1617</v>
      </c>
      <c r="T168" s="29" t="s">
        <v>1618</v>
      </c>
      <c r="U168" s="121" t="s">
        <v>938</v>
      </c>
      <c r="V168" s="29" t="s">
        <v>1619</v>
      </c>
      <c r="W168" s="29" t="s">
        <v>1620</v>
      </c>
      <c r="X168" s="29" t="s">
        <v>1621</v>
      </c>
      <c r="Y168" s="29" t="s">
        <v>1622</v>
      </c>
      <c r="Z168" s="29" t="s">
        <v>1623</v>
      </c>
      <c r="AA168" s="98" t="s">
        <v>939</v>
      </c>
      <c r="AB168" s="98" t="s">
        <v>939</v>
      </c>
    </row>
    <row r="169" spans="1:28" s="76" customFormat="1" ht="25.5" x14ac:dyDescent="0.25">
      <c r="A169" s="9" t="s">
        <v>82</v>
      </c>
      <c r="B169" s="15" t="s">
        <v>67</v>
      </c>
      <c r="C169" s="15" t="s">
        <v>38</v>
      </c>
      <c r="D169" s="29" t="s">
        <v>1629</v>
      </c>
      <c r="E169" s="29" t="s">
        <v>1630</v>
      </c>
      <c r="F169" s="29" t="s">
        <v>1631</v>
      </c>
      <c r="G169" s="29" t="s">
        <v>1632</v>
      </c>
      <c r="H169" s="29" t="s">
        <v>1633</v>
      </c>
      <c r="I169" s="29" t="s">
        <v>1634</v>
      </c>
      <c r="J169" s="29" t="s">
        <v>1635</v>
      </c>
      <c r="K169" s="29" t="s">
        <v>1636</v>
      </c>
      <c r="L169" s="29" t="s">
        <v>1637</v>
      </c>
      <c r="M169" s="29" t="s">
        <v>1638</v>
      </c>
      <c r="N169" s="29" t="s">
        <v>1639</v>
      </c>
      <c r="O169" s="29" t="s">
        <v>1640</v>
      </c>
      <c r="P169" s="29" t="s">
        <v>1641</v>
      </c>
      <c r="Q169" s="29" t="s">
        <v>1642</v>
      </c>
      <c r="R169" s="29" t="s">
        <v>1643</v>
      </c>
      <c r="S169" s="29" t="s">
        <v>1644</v>
      </c>
      <c r="T169" s="29" t="s">
        <v>1645</v>
      </c>
      <c r="U169" s="121" t="s">
        <v>940</v>
      </c>
      <c r="V169" s="29" t="s">
        <v>1628</v>
      </c>
      <c r="W169" s="29" t="s">
        <v>1627</v>
      </c>
      <c r="X169" s="29" t="s">
        <v>1626</v>
      </c>
      <c r="Y169" s="29" t="s">
        <v>1625</v>
      </c>
      <c r="Z169" s="29" t="s">
        <v>1624</v>
      </c>
      <c r="AA169" s="80">
        <v>2299999.9999999995</v>
      </c>
      <c r="AB169" s="80">
        <v>2299999.9999999995</v>
      </c>
    </row>
    <row r="170" spans="1:28" s="76" customFormat="1" ht="38.25" x14ac:dyDescent="0.25">
      <c r="A170" s="9" t="s">
        <v>83</v>
      </c>
      <c r="B170" s="15" t="s">
        <v>941</v>
      </c>
      <c r="C170" s="15" t="s">
        <v>38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121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80"/>
      <c r="AB170" s="80"/>
    </row>
    <row r="171" spans="1:28" s="76" customFormat="1" x14ac:dyDescent="0.25">
      <c r="A171" s="13" t="s">
        <v>84</v>
      </c>
      <c r="B171" s="19" t="s">
        <v>40</v>
      </c>
      <c r="C171" s="15" t="s">
        <v>4</v>
      </c>
      <c r="D171" s="96" t="s">
        <v>85</v>
      </c>
      <c r="E171" s="96" t="s">
        <v>85</v>
      </c>
      <c r="F171" s="96" t="s">
        <v>85</v>
      </c>
      <c r="G171" s="96" t="s">
        <v>85</v>
      </c>
      <c r="H171" s="96" t="s">
        <v>85</v>
      </c>
      <c r="I171" s="96" t="s">
        <v>85</v>
      </c>
      <c r="J171" s="96" t="s">
        <v>85</v>
      </c>
      <c r="K171" s="96" t="s">
        <v>85</v>
      </c>
      <c r="L171" s="96" t="s">
        <v>85</v>
      </c>
      <c r="M171" s="96" t="s">
        <v>85</v>
      </c>
      <c r="N171" s="96" t="s">
        <v>85</v>
      </c>
      <c r="O171" s="96" t="s">
        <v>85</v>
      </c>
      <c r="P171" s="96" t="s">
        <v>85</v>
      </c>
      <c r="Q171" s="96" t="s">
        <v>85</v>
      </c>
      <c r="R171" s="96" t="s">
        <v>85</v>
      </c>
      <c r="S171" s="96" t="s">
        <v>85</v>
      </c>
      <c r="T171" s="96" t="s">
        <v>85</v>
      </c>
      <c r="U171" s="120" t="s">
        <v>85</v>
      </c>
      <c r="V171" s="96" t="s">
        <v>85</v>
      </c>
      <c r="W171" s="96" t="s">
        <v>85</v>
      </c>
      <c r="X171" s="96" t="s">
        <v>85</v>
      </c>
      <c r="Y171" s="96" t="s">
        <v>85</v>
      </c>
      <c r="Z171" s="96" t="s">
        <v>85</v>
      </c>
      <c r="AA171" s="80"/>
      <c r="AB171" s="80"/>
    </row>
    <row r="172" spans="1:28" s="76" customFormat="1" x14ac:dyDescent="0.25">
      <c r="A172" s="9" t="s">
        <v>86</v>
      </c>
      <c r="B172" s="15" t="s">
        <v>2</v>
      </c>
      <c r="C172" s="15" t="s">
        <v>4</v>
      </c>
      <c r="D172" s="29" t="s">
        <v>87</v>
      </c>
      <c r="E172" s="29" t="s">
        <v>87</v>
      </c>
      <c r="F172" s="29" t="s">
        <v>87</v>
      </c>
      <c r="G172" s="29" t="s">
        <v>87</v>
      </c>
      <c r="H172" s="29" t="s">
        <v>87</v>
      </c>
      <c r="I172" s="29" t="s">
        <v>87</v>
      </c>
      <c r="J172" s="29" t="s">
        <v>87</v>
      </c>
      <c r="K172" s="29" t="s">
        <v>87</v>
      </c>
      <c r="L172" s="29" t="s">
        <v>87</v>
      </c>
      <c r="M172" s="29" t="s">
        <v>87</v>
      </c>
      <c r="N172" s="29" t="s">
        <v>87</v>
      </c>
      <c r="O172" s="29" t="s">
        <v>87</v>
      </c>
      <c r="P172" s="29" t="s">
        <v>87</v>
      </c>
      <c r="Q172" s="29" t="s">
        <v>87</v>
      </c>
      <c r="R172" s="29" t="s">
        <v>87</v>
      </c>
      <c r="S172" s="29" t="s">
        <v>87</v>
      </c>
      <c r="T172" s="29" t="s">
        <v>87</v>
      </c>
      <c r="U172" s="121" t="s">
        <v>87</v>
      </c>
      <c r="V172" s="29" t="s">
        <v>87</v>
      </c>
      <c r="W172" s="29" t="s">
        <v>87</v>
      </c>
      <c r="X172" s="29" t="s">
        <v>87</v>
      </c>
      <c r="Y172" s="29" t="s">
        <v>87</v>
      </c>
      <c r="Z172" s="29" t="s">
        <v>87</v>
      </c>
      <c r="AA172" s="80"/>
      <c r="AB172" s="80"/>
    </row>
    <row r="173" spans="1:28" s="76" customFormat="1" ht="25.5" x14ac:dyDescent="0.25">
      <c r="A173" s="9" t="s">
        <v>88</v>
      </c>
      <c r="B173" s="15" t="s">
        <v>61</v>
      </c>
      <c r="C173" s="15" t="s">
        <v>224</v>
      </c>
      <c r="D173" s="29" t="s">
        <v>942</v>
      </c>
      <c r="E173" s="29" t="s">
        <v>943</v>
      </c>
      <c r="F173" s="29" t="s">
        <v>944</v>
      </c>
      <c r="G173" s="29" t="s">
        <v>945</v>
      </c>
      <c r="H173" s="29" t="s">
        <v>946</v>
      </c>
      <c r="I173" s="29" t="s">
        <v>947</v>
      </c>
      <c r="J173" s="29" t="s">
        <v>948</v>
      </c>
      <c r="K173" s="29" t="s">
        <v>949</v>
      </c>
      <c r="L173" s="29" t="s">
        <v>950</v>
      </c>
      <c r="M173" s="29" t="s">
        <v>951</v>
      </c>
      <c r="N173" s="29" t="s">
        <v>952</v>
      </c>
      <c r="O173" s="29" t="s">
        <v>953</v>
      </c>
      <c r="P173" s="29" t="s">
        <v>954</v>
      </c>
      <c r="Q173" s="29" t="s">
        <v>955</v>
      </c>
      <c r="R173" s="29" t="s">
        <v>956</v>
      </c>
      <c r="S173" s="29" t="s">
        <v>957</v>
      </c>
      <c r="T173" s="29" t="s">
        <v>958</v>
      </c>
      <c r="U173" s="121">
        <v>0</v>
      </c>
      <c r="V173" s="29" t="s">
        <v>959</v>
      </c>
      <c r="W173" s="29" t="s">
        <v>960</v>
      </c>
      <c r="X173" s="29" t="s">
        <v>961</v>
      </c>
      <c r="Y173" s="29" t="s">
        <v>962</v>
      </c>
      <c r="Z173" s="29" t="s">
        <v>963</v>
      </c>
      <c r="AA173" s="80" t="s">
        <v>964</v>
      </c>
      <c r="AB173" s="80" t="s">
        <v>964</v>
      </c>
    </row>
    <row r="174" spans="1:28" s="76" customFormat="1" ht="25.5" hidden="1" x14ac:dyDescent="0.25">
      <c r="A174" s="9"/>
      <c r="B174" s="107" t="s">
        <v>44</v>
      </c>
      <c r="C174" s="15"/>
      <c r="D174" s="29" t="s">
        <v>965</v>
      </c>
      <c r="E174" s="29" t="s">
        <v>966</v>
      </c>
      <c r="F174" s="29" t="s">
        <v>967</v>
      </c>
      <c r="G174" s="29" t="s">
        <v>968</v>
      </c>
      <c r="H174" s="29" t="s">
        <v>969</v>
      </c>
      <c r="I174" s="29" t="s">
        <v>970</v>
      </c>
      <c r="J174" s="29">
        <v>0</v>
      </c>
      <c r="K174" s="29">
        <v>0</v>
      </c>
      <c r="L174" s="29" t="s">
        <v>971</v>
      </c>
      <c r="M174" s="29">
        <v>0</v>
      </c>
      <c r="N174" s="29" t="s">
        <v>972</v>
      </c>
      <c r="O174" s="29" t="s">
        <v>973</v>
      </c>
      <c r="P174" s="29" t="s">
        <v>974</v>
      </c>
      <c r="Q174" s="29" t="s">
        <v>975</v>
      </c>
      <c r="R174" s="29" t="s">
        <v>976</v>
      </c>
      <c r="S174" s="29" t="s">
        <v>977</v>
      </c>
      <c r="T174" s="29" t="s">
        <v>978</v>
      </c>
      <c r="U174" s="121">
        <v>0</v>
      </c>
      <c r="V174" s="29" t="s">
        <v>979</v>
      </c>
      <c r="W174" s="29">
        <v>0</v>
      </c>
      <c r="X174" s="29" t="s">
        <v>980</v>
      </c>
      <c r="Y174" s="29" t="s">
        <v>981</v>
      </c>
      <c r="Z174" s="29">
        <v>0</v>
      </c>
      <c r="AA174" s="80" t="s">
        <v>982</v>
      </c>
      <c r="AB174" s="80" t="s">
        <v>982</v>
      </c>
    </row>
    <row r="175" spans="1:28" s="76" customFormat="1" x14ac:dyDescent="0.25">
      <c r="A175" s="9" t="s">
        <v>89</v>
      </c>
      <c r="B175" s="15" t="s">
        <v>62</v>
      </c>
      <c r="C175" s="15" t="s">
        <v>38</v>
      </c>
      <c r="D175" s="29" t="s">
        <v>983</v>
      </c>
      <c r="E175" s="29" t="s">
        <v>984</v>
      </c>
      <c r="F175" s="29" t="s">
        <v>985</v>
      </c>
      <c r="G175" s="29" t="s">
        <v>986</v>
      </c>
      <c r="H175" s="29" t="s">
        <v>987</v>
      </c>
      <c r="I175" s="29" t="s">
        <v>988</v>
      </c>
      <c r="J175" s="29" t="s">
        <v>989</v>
      </c>
      <c r="K175" s="29" t="s">
        <v>990</v>
      </c>
      <c r="L175" s="29" t="s">
        <v>991</v>
      </c>
      <c r="M175" s="29" t="s">
        <v>992</v>
      </c>
      <c r="N175" s="29" t="s">
        <v>993</v>
      </c>
      <c r="O175" s="29" t="s">
        <v>994</v>
      </c>
      <c r="P175" s="29" t="s">
        <v>995</v>
      </c>
      <c r="Q175" s="29" t="s">
        <v>996</v>
      </c>
      <c r="R175" s="29" t="s">
        <v>997</v>
      </c>
      <c r="S175" s="29" t="s">
        <v>998</v>
      </c>
      <c r="T175" s="29" t="s">
        <v>999</v>
      </c>
      <c r="U175" s="121">
        <v>0</v>
      </c>
      <c r="V175" s="29" t="s">
        <v>1000</v>
      </c>
      <c r="W175" s="29" t="s">
        <v>1001</v>
      </c>
      <c r="X175" s="29" t="s">
        <v>1002</v>
      </c>
      <c r="Y175" s="29" t="s">
        <v>1003</v>
      </c>
      <c r="Z175" s="29" t="s">
        <v>1004</v>
      </c>
      <c r="AA175" s="80" t="s">
        <v>1005</v>
      </c>
      <c r="AB175" s="80" t="s">
        <v>1005</v>
      </c>
    </row>
    <row r="176" spans="1:28" s="76" customFormat="1" x14ac:dyDescent="0.25">
      <c r="A176" s="9" t="s">
        <v>90</v>
      </c>
      <c r="B176" s="15" t="s">
        <v>63</v>
      </c>
      <c r="C176" s="15" t="s">
        <v>38</v>
      </c>
      <c r="D176" s="29" t="s">
        <v>1006</v>
      </c>
      <c r="E176" s="29" t="s">
        <v>1007</v>
      </c>
      <c r="F176" s="29" t="s">
        <v>1008</v>
      </c>
      <c r="G176" s="29" t="s">
        <v>1009</v>
      </c>
      <c r="H176" s="29" t="s">
        <v>1010</v>
      </c>
      <c r="I176" s="29" t="s">
        <v>1011</v>
      </c>
      <c r="J176" s="29" t="s">
        <v>1012</v>
      </c>
      <c r="K176" s="29" t="s">
        <v>1013</v>
      </c>
      <c r="L176" s="29" t="s">
        <v>1014</v>
      </c>
      <c r="M176" s="29" t="s">
        <v>1015</v>
      </c>
      <c r="N176" s="29" t="s">
        <v>1016</v>
      </c>
      <c r="O176" s="29" t="s">
        <v>1017</v>
      </c>
      <c r="P176" s="29" t="s">
        <v>1018</v>
      </c>
      <c r="Q176" s="29" t="s">
        <v>1019</v>
      </c>
      <c r="R176" s="29" t="s">
        <v>1020</v>
      </c>
      <c r="S176" s="29" t="s">
        <v>1021</v>
      </c>
      <c r="T176" s="29" t="s">
        <v>1022</v>
      </c>
      <c r="U176" s="121">
        <v>0</v>
      </c>
      <c r="V176" s="29" t="s">
        <v>1023</v>
      </c>
      <c r="W176" s="29" t="s">
        <v>1024</v>
      </c>
      <c r="X176" s="29" t="s">
        <v>1025</v>
      </c>
      <c r="Y176" s="29" t="s">
        <v>1026</v>
      </c>
      <c r="Z176" s="29" t="s">
        <v>1027</v>
      </c>
      <c r="AA176" s="80"/>
      <c r="AB176" s="80"/>
    </row>
    <row r="177" spans="1:28" s="76" customFormat="1" ht="29.25" customHeight="1" x14ac:dyDescent="0.25">
      <c r="A177" s="9" t="s">
        <v>91</v>
      </c>
      <c r="B177" s="15" t="s">
        <v>64</v>
      </c>
      <c r="C177" s="15" t="s">
        <v>38</v>
      </c>
      <c r="D177" s="29" t="s">
        <v>1028</v>
      </c>
      <c r="E177" s="29" t="s">
        <v>1029</v>
      </c>
      <c r="F177" s="29" t="s">
        <v>1030</v>
      </c>
      <c r="G177" s="29" t="s">
        <v>1031</v>
      </c>
      <c r="H177" s="29" t="s">
        <v>1032</v>
      </c>
      <c r="I177" s="29" t="s">
        <v>1033</v>
      </c>
      <c r="J177" s="29" t="s">
        <v>1034</v>
      </c>
      <c r="K177" s="29" t="s">
        <v>1035</v>
      </c>
      <c r="L177" s="29" t="s">
        <v>1036</v>
      </c>
      <c r="M177" s="29" t="s">
        <v>1037</v>
      </c>
      <c r="N177" s="29" t="s">
        <v>1038</v>
      </c>
      <c r="O177" s="29" t="s">
        <v>1039</v>
      </c>
      <c r="P177" s="29" t="s">
        <v>1040</v>
      </c>
      <c r="Q177" s="29" t="s">
        <v>1041</v>
      </c>
      <c r="R177" s="29" t="s">
        <v>1042</v>
      </c>
      <c r="S177" s="29" t="s">
        <v>1043</v>
      </c>
      <c r="T177" s="29" t="s">
        <v>1044</v>
      </c>
      <c r="U177" s="121">
        <v>0</v>
      </c>
      <c r="V177" s="29" t="s">
        <v>1045</v>
      </c>
      <c r="W177" s="29" t="s">
        <v>1046</v>
      </c>
      <c r="X177" s="29" t="s">
        <v>1047</v>
      </c>
      <c r="Y177" s="29" t="s">
        <v>1048</v>
      </c>
      <c r="Z177" s="29" t="s">
        <v>1049</v>
      </c>
      <c r="AA177" s="80"/>
      <c r="AB177" s="80"/>
    </row>
    <row r="178" spans="1:28" s="76" customFormat="1" ht="25.5" x14ac:dyDescent="0.25">
      <c r="A178" s="9" t="s">
        <v>92</v>
      </c>
      <c r="B178" s="15" t="s">
        <v>65</v>
      </c>
      <c r="C178" s="15" t="s">
        <v>38</v>
      </c>
      <c r="D178" s="29" t="s">
        <v>1050</v>
      </c>
      <c r="E178" s="29" t="s">
        <v>1051</v>
      </c>
      <c r="F178" s="29" t="s">
        <v>1052</v>
      </c>
      <c r="G178" s="29" t="s">
        <v>1053</v>
      </c>
      <c r="H178" s="29" t="s">
        <v>1054</v>
      </c>
      <c r="I178" s="29" t="s">
        <v>1055</v>
      </c>
      <c r="J178" s="29" t="s">
        <v>1056</v>
      </c>
      <c r="K178" s="29" t="s">
        <v>1057</v>
      </c>
      <c r="L178" s="29" t="s">
        <v>1058</v>
      </c>
      <c r="M178" s="29" t="s">
        <v>1059</v>
      </c>
      <c r="N178" s="29" t="s">
        <v>1060</v>
      </c>
      <c r="O178" s="29" t="s">
        <v>1061</v>
      </c>
      <c r="P178" s="29" t="s">
        <v>1062</v>
      </c>
      <c r="Q178" s="29" t="s">
        <v>1063</v>
      </c>
      <c r="R178" s="29" t="s">
        <v>1064</v>
      </c>
      <c r="S178" s="29" t="s">
        <v>1065</v>
      </c>
      <c r="T178" s="29" t="s">
        <v>1066</v>
      </c>
      <c r="U178" s="121">
        <v>0</v>
      </c>
      <c r="V178" s="29" t="s">
        <v>1067</v>
      </c>
      <c r="W178" s="29" t="s">
        <v>1068</v>
      </c>
      <c r="X178" s="29" t="s">
        <v>1069</v>
      </c>
      <c r="Y178" s="29" t="s">
        <v>1070</v>
      </c>
      <c r="Z178" s="29" t="s">
        <v>1071</v>
      </c>
      <c r="AA178" s="80" t="s">
        <v>1072</v>
      </c>
      <c r="AB178" s="80" t="s">
        <v>1072</v>
      </c>
    </row>
    <row r="179" spans="1:28" s="76" customFormat="1" ht="25.5" x14ac:dyDescent="0.25">
      <c r="A179" s="9" t="s">
        <v>93</v>
      </c>
      <c r="B179" s="15" t="s">
        <v>66</v>
      </c>
      <c r="C179" s="15" t="s">
        <v>38</v>
      </c>
      <c r="D179" s="29" t="s">
        <v>1646</v>
      </c>
      <c r="E179" s="29" t="s">
        <v>1647</v>
      </c>
      <c r="F179" s="29" t="s">
        <v>1648</v>
      </c>
      <c r="G179" s="29" t="s">
        <v>1649</v>
      </c>
      <c r="H179" s="29" t="s">
        <v>1650</v>
      </c>
      <c r="I179" s="29" t="s">
        <v>1651</v>
      </c>
      <c r="J179" s="29" t="s">
        <v>1652</v>
      </c>
      <c r="K179" s="29" t="s">
        <v>1653</v>
      </c>
      <c r="L179" s="29" t="s">
        <v>1654</v>
      </c>
      <c r="M179" s="29" t="s">
        <v>1655</v>
      </c>
      <c r="N179" s="29" t="s">
        <v>1656</v>
      </c>
      <c r="O179" s="29" t="s">
        <v>1657</v>
      </c>
      <c r="P179" s="29" t="s">
        <v>1658</v>
      </c>
      <c r="Q179" s="29" t="s">
        <v>1659</v>
      </c>
      <c r="R179" s="29" t="s">
        <v>1660</v>
      </c>
      <c r="S179" s="29" t="s">
        <v>1661</v>
      </c>
      <c r="T179" s="29" t="s">
        <v>1662</v>
      </c>
      <c r="U179" s="121" t="s">
        <v>1073</v>
      </c>
      <c r="V179" s="29" t="s">
        <v>1663</v>
      </c>
      <c r="W179" s="29" t="s">
        <v>1664</v>
      </c>
      <c r="X179" s="29" t="s">
        <v>1665</v>
      </c>
      <c r="Y179" s="29" t="s">
        <v>1666</v>
      </c>
      <c r="Z179" s="29" t="s">
        <v>1667</v>
      </c>
      <c r="AA179" s="80" t="s">
        <v>1074</v>
      </c>
      <c r="AB179" s="80" t="s">
        <v>1074</v>
      </c>
    </row>
    <row r="180" spans="1:28" s="76" customFormat="1" ht="25.5" x14ac:dyDescent="0.25">
      <c r="A180" s="9" t="s">
        <v>94</v>
      </c>
      <c r="B180" s="15" t="s">
        <v>67</v>
      </c>
      <c r="C180" s="15" t="s">
        <v>38</v>
      </c>
      <c r="D180" s="29" t="s">
        <v>1668</v>
      </c>
      <c r="E180" s="29" t="s">
        <v>1669</v>
      </c>
      <c r="F180" s="29" t="s">
        <v>1670</v>
      </c>
      <c r="G180" s="29" t="s">
        <v>1671</v>
      </c>
      <c r="H180" s="29" t="s">
        <v>1672</v>
      </c>
      <c r="I180" s="29" t="s">
        <v>1673</v>
      </c>
      <c r="J180" s="29" t="s">
        <v>1674</v>
      </c>
      <c r="K180" s="29" t="s">
        <v>1675</v>
      </c>
      <c r="L180" s="29" t="s">
        <v>1676</v>
      </c>
      <c r="M180" s="29" t="s">
        <v>1677</v>
      </c>
      <c r="N180" s="29" t="s">
        <v>1678</v>
      </c>
      <c r="O180" s="29" t="s">
        <v>1679</v>
      </c>
      <c r="P180" s="29" t="s">
        <v>1680</v>
      </c>
      <c r="Q180" s="29" t="s">
        <v>1681</v>
      </c>
      <c r="R180" s="29" t="s">
        <v>1682</v>
      </c>
      <c r="S180" s="29" t="s">
        <v>1683</v>
      </c>
      <c r="T180" s="29" t="s">
        <v>1684</v>
      </c>
      <c r="U180" s="121" t="s">
        <v>1075</v>
      </c>
      <c r="V180" s="29" t="s">
        <v>1685</v>
      </c>
      <c r="W180" s="29" t="s">
        <v>1686</v>
      </c>
      <c r="X180" s="29" t="s">
        <v>1687</v>
      </c>
      <c r="Y180" s="29" t="s">
        <v>1688</v>
      </c>
      <c r="Z180" s="29" t="s">
        <v>1689</v>
      </c>
      <c r="AA180" s="80" t="s">
        <v>1076</v>
      </c>
      <c r="AB180" s="80" t="s">
        <v>1076</v>
      </c>
    </row>
    <row r="181" spans="1:28" s="76" customFormat="1" ht="38.25" x14ac:dyDescent="0.25">
      <c r="A181" s="9" t="s">
        <v>95</v>
      </c>
      <c r="B181" s="15" t="s">
        <v>941</v>
      </c>
      <c r="C181" s="15" t="s">
        <v>38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121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80"/>
      <c r="AB181" s="80"/>
    </row>
    <row r="182" spans="1:28" s="76" customFormat="1" ht="30.75" customHeight="1" x14ac:dyDescent="0.25">
      <c r="A182" s="13" t="s">
        <v>96</v>
      </c>
      <c r="B182" s="19" t="s">
        <v>40</v>
      </c>
      <c r="C182" s="15" t="s">
        <v>4</v>
      </c>
      <c r="D182" s="96" t="s">
        <v>290</v>
      </c>
      <c r="E182" s="96" t="s">
        <v>290</v>
      </c>
      <c r="F182" s="96" t="s">
        <v>290</v>
      </c>
      <c r="G182" s="96" t="s">
        <v>290</v>
      </c>
      <c r="H182" s="96" t="s">
        <v>290</v>
      </c>
      <c r="I182" s="96" t="s">
        <v>290</v>
      </c>
      <c r="J182" s="96" t="s">
        <v>290</v>
      </c>
      <c r="K182" s="96" t="s">
        <v>290</v>
      </c>
      <c r="L182" s="96" t="s">
        <v>290</v>
      </c>
      <c r="M182" s="96" t="s">
        <v>290</v>
      </c>
      <c r="N182" s="96" t="s">
        <v>290</v>
      </c>
      <c r="O182" s="96" t="s">
        <v>290</v>
      </c>
      <c r="P182" s="96" t="s">
        <v>290</v>
      </c>
      <c r="Q182" s="96" t="s">
        <v>290</v>
      </c>
      <c r="R182" s="96" t="s">
        <v>290</v>
      </c>
      <c r="S182" s="96" t="s">
        <v>290</v>
      </c>
      <c r="T182" s="96" t="s">
        <v>290</v>
      </c>
      <c r="U182" s="120" t="s">
        <v>290</v>
      </c>
      <c r="V182" s="96" t="s">
        <v>290</v>
      </c>
      <c r="W182" s="96" t="s">
        <v>290</v>
      </c>
      <c r="X182" s="96" t="s">
        <v>290</v>
      </c>
      <c r="Y182" s="96" t="s">
        <v>290</v>
      </c>
      <c r="Z182" s="96" t="s">
        <v>290</v>
      </c>
      <c r="AA182" s="80"/>
      <c r="AB182" s="80"/>
    </row>
    <row r="183" spans="1:28" s="76" customFormat="1" x14ac:dyDescent="0.25">
      <c r="A183" s="9" t="s">
        <v>97</v>
      </c>
      <c r="B183" s="15" t="s">
        <v>2</v>
      </c>
      <c r="C183" s="15" t="s">
        <v>4</v>
      </c>
      <c r="D183" s="29" t="s">
        <v>200</v>
      </c>
      <c r="E183" s="29" t="s">
        <v>200</v>
      </c>
      <c r="F183" s="29" t="s">
        <v>200</v>
      </c>
      <c r="G183" s="29" t="s">
        <v>200</v>
      </c>
      <c r="H183" s="29" t="s">
        <v>200</v>
      </c>
      <c r="I183" s="29" t="s">
        <v>200</v>
      </c>
      <c r="J183" s="29" t="s">
        <v>200</v>
      </c>
      <c r="K183" s="29" t="s">
        <v>200</v>
      </c>
      <c r="L183" s="29" t="s">
        <v>200</v>
      </c>
      <c r="M183" s="29" t="s">
        <v>200</v>
      </c>
      <c r="N183" s="29" t="s">
        <v>200</v>
      </c>
      <c r="O183" s="29" t="s">
        <v>200</v>
      </c>
      <c r="P183" s="29" t="s">
        <v>200</v>
      </c>
      <c r="Q183" s="29" t="s">
        <v>200</v>
      </c>
      <c r="R183" s="29" t="s">
        <v>200</v>
      </c>
      <c r="S183" s="29" t="s">
        <v>200</v>
      </c>
      <c r="T183" s="29" t="s">
        <v>200</v>
      </c>
      <c r="U183" s="121" t="s">
        <v>200</v>
      </c>
      <c r="V183" s="29" t="s">
        <v>200</v>
      </c>
      <c r="W183" s="29" t="s">
        <v>200</v>
      </c>
      <c r="X183" s="29" t="s">
        <v>200</v>
      </c>
      <c r="Y183" s="29" t="s">
        <v>200</v>
      </c>
      <c r="Z183" s="29" t="s">
        <v>200</v>
      </c>
      <c r="AA183" s="80"/>
      <c r="AB183" s="80"/>
    </row>
    <row r="184" spans="1:28" s="76" customFormat="1" ht="25.5" x14ac:dyDescent="0.25">
      <c r="A184" s="9" t="s">
        <v>99</v>
      </c>
      <c r="B184" s="15" t="s">
        <v>61</v>
      </c>
      <c r="C184" s="15" t="s">
        <v>224</v>
      </c>
      <c r="D184" s="29">
        <v>0</v>
      </c>
      <c r="E184" s="29" t="s">
        <v>1077</v>
      </c>
      <c r="F184" s="29" t="s">
        <v>1078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121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80"/>
      <c r="AB184" s="80"/>
    </row>
    <row r="185" spans="1:28" s="76" customFormat="1" ht="25.5" hidden="1" x14ac:dyDescent="0.25">
      <c r="A185" s="9"/>
      <c r="B185" s="107" t="s">
        <v>44</v>
      </c>
      <c r="C185" s="15"/>
      <c r="D185" s="29" t="s">
        <v>1079</v>
      </c>
      <c r="E185" s="29" t="s">
        <v>1080</v>
      </c>
      <c r="F185" s="29" t="s">
        <v>1081</v>
      </c>
      <c r="G185" s="29" t="s">
        <v>1082</v>
      </c>
      <c r="H185" s="29" t="s">
        <v>1083</v>
      </c>
      <c r="I185" s="29" t="s">
        <v>1084</v>
      </c>
      <c r="J185" s="29">
        <v>0</v>
      </c>
      <c r="K185" s="29">
        <v>0</v>
      </c>
      <c r="L185" s="29" t="s">
        <v>1085</v>
      </c>
      <c r="M185" s="29">
        <v>0</v>
      </c>
      <c r="N185" s="29" t="s">
        <v>1086</v>
      </c>
      <c r="O185" s="29" t="s">
        <v>1087</v>
      </c>
      <c r="P185" s="29" t="s">
        <v>1088</v>
      </c>
      <c r="Q185" s="29" t="s">
        <v>1089</v>
      </c>
      <c r="R185" s="29" t="s">
        <v>1090</v>
      </c>
      <c r="S185" s="29" t="s">
        <v>1091</v>
      </c>
      <c r="T185" s="29" t="s">
        <v>1092</v>
      </c>
      <c r="U185" s="121">
        <v>0</v>
      </c>
      <c r="V185" s="29" t="s">
        <v>1093</v>
      </c>
      <c r="W185" s="29">
        <v>0</v>
      </c>
      <c r="X185" s="29" t="s">
        <v>1094</v>
      </c>
      <c r="Y185" s="29" t="s">
        <v>1095</v>
      </c>
      <c r="Z185" s="29">
        <v>0</v>
      </c>
      <c r="AA185" s="80"/>
      <c r="AB185" s="80"/>
    </row>
    <row r="186" spans="1:28" s="76" customFormat="1" x14ac:dyDescent="0.25">
      <c r="A186" s="9" t="s">
        <v>100</v>
      </c>
      <c r="B186" s="15" t="s">
        <v>62</v>
      </c>
      <c r="C186" s="15" t="s">
        <v>38</v>
      </c>
      <c r="D186" s="29" t="s">
        <v>1096</v>
      </c>
      <c r="E186" s="29" t="s">
        <v>1097</v>
      </c>
      <c r="F186" s="29" t="s">
        <v>1098</v>
      </c>
      <c r="G186" s="29" t="s">
        <v>1099</v>
      </c>
      <c r="H186" s="29" t="s">
        <v>1100</v>
      </c>
      <c r="I186" s="29" t="s">
        <v>1101</v>
      </c>
      <c r="J186" s="29" t="s">
        <v>1102</v>
      </c>
      <c r="K186" s="29" t="s">
        <v>1103</v>
      </c>
      <c r="L186" s="29" t="s">
        <v>1104</v>
      </c>
      <c r="M186" s="29" t="s">
        <v>1105</v>
      </c>
      <c r="N186" s="29" t="s">
        <v>1106</v>
      </c>
      <c r="O186" s="29" t="s">
        <v>1107</v>
      </c>
      <c r="P186" s="29" t="s">
        <v>1108</v>
      </c>
      <c r="Q186" s="29" t="s">
        <v>1109</v>
      </c>
      <c r="R186" s="29" t="s">
        <v>1110</v>
      </c>
      <c r="S186" s="29" t="s">
        <v>1111</v>
      </c>
      <c r="T186" s="29" t="s">
        <v>1112</v>
      </c>
      <c r="U186" s="121">
        <v>0</v>
      </c>
      <c r="V186" s="29" t="s">
        <v>1113</v>
      </c>
      <c r="W186" s="29" t="s">
        <v>1114</v>
      </c>
      <c r="X186" s="29" t="s">
        <v>1115</v>
      </c>
      <c r="Y186" s="29" t="s">
        <v>1116</v>
      </c>
      <c r="Z186" s="29" t="s">
        <v>1117</v>
      </c>
      <c r="AA186" s="80" t="s">
        <v>1118</v>
      </c>
      <c r="AB186" s="80" t="s">
        <v>1118</v>
      </c>
    </row>
    <row r="187" spans="1:28" s="76" customFormat="1" x14ac:dyDescent="0.25">
      <c r="A187" s="9" t="s">
        <v>101</v>
      </c>
      <c r="B187" s="15" t="s">
        <v>63</v>
      </c>
      <c r="C187" s="15" t="s">
        <v>38</v>
      </c>
      <c r="D187" s="29" t="s">
        <v>1119</v>
      </c>
      <c r="E187" s="29" t="s">
        <v>1120</v>
      </c>
      <c r="F187" s="29" t="s">
        <v>1121</v>
      </c>
      <c r="G187" s="29" t="s">
        <v>1122</v>
      </c>
      <c r="H187" s="29" t="s">
        <v>1123</v>
      </c>
      <c r="I187" s="29" t="s">
        <v>1124</v>
      </c>
      <c r="J187" s="29" t="s">
        <v>1125</v>
      </c>
      <c r="K187" s="29" t="s">
        <v>1126</v>
      </c>
      <c r="L187" s="29" t="s">
        <v>1127</v>
      </c>
      <c r="M187" s="29" t="s">
        <v>1128</v>
      </c>
      <c r="N187" s="29" t="s">
        <v>1129</v>
      </c>
      <c r="O187" s="29" t="s">
        <v>1130</v>
      </c>
      <c r="P187" s="29" t="s">
        <v>1131</v>
      </c>
      <c r="Q187" s="29" t="s">
        <v>1132</v>
      </c>
      <c r="R187" s="29" t="s">
        <v>1133</v>
      </c>
      <c r="S187" s="29" t="s">
        <v>1134</v>
      </c>
      <c r="T187" s="29" t="s">
        <v>1135</v>
      </c>
      <c r="U187" s="121">
        <v>0</v>
      </c>
      <c r="V187" s="29" t="s">
        <v>1136</v>
      </c>
      <c r="W187" s="29" t="s">
        <v>1137</v>
      </c>
      <c r="X187" s="29" t="s">
        <v>1138</v>
      </c>
      <c r="Y187" s="29" t="s">
        <v>1139</v>
      </c>
      <c r="Z187" s="29" t="s">
        <v>1140</v>
      </c>
      <c r="AA187" s="80"/>
      <c r="AB187" s="80"/>
    </row>
    <row r="188" spans="1:28" s="76" customFormat="1" ht="31.5" customHeight="1" x14ac:dyDescent="0.25">
      <c r="A188" s="9" t="s">
        <v>102</v>
      </c>
      <c r="B188" s="15" t="s">
        <v>64</v>
      </c>
      <c r="C188" s="15" t="s">
        <v>38</v>
      </c>
      <c r="D188" s="29" t="s">
        <v>1141</v>
      </c>
      <c r="E188" s="29" t="s">
        <v>1142</v>
      </c>
      <c r="F188" s="29" t="s">
        <v>1143</v>
      </c>
      <c r="G188" s="29" t="s">
        <v>1144</v>
      </c>
      <c r="H188" s="29" t="s">
        <v>1145</v>
      </c>
      <c r="I188" s="29" t="s">
        <v>1146</v>
      </c>
      <c r="J188" s="29" t="s">
        <v>1147</v>
      </c>
      <c r="K188" s="29" t="s">
        <v>1148</v>
      </c>
      <c r="L188" s="29" t="s">
        <v>1149</v>
      </c>
      <c r="M188" s="29" t="s">
        <v>1150</v>
      </c>
      <c r="N188" s="29" t="s">
        <v>1151</v>
      </c>
      <c r="O188" s="29" t="s">
        <v>1152</v>
      </c>
      <c r="P188" s="29" t="s">
        <v>1153</v>
      </c>
      <c r="Q188" s="29" t="s">
        <v>1154</v>
      </c>
      <c r="R188" s="29" t="s">
        <v>1155</v>
      </c>
      <c r="S188" s="29" t="s">
        <v>1156</v>
      </c>
      <c r="T188" s="29" t="s">
        <v>1157</v>
      </c>
      <c r="U188" s="121">
        <v>0</v>
      </c>
      <c r="V188" s="29" t="s">
        <v>1158</v>
      </c>
      <c r="W188" s="29" t="s">
        <v>1159</v>
      </c>
      <c r="X188" s="29" t="s">
        <v>1160</v>
      </c>
      <c r="Y188" s="29" t="s">
        <v>1161</v>
      </c>
      <c r="Z188" s="29" t="s">
        <v>1162</v>
      </c>
      <c r="AA188" s="80"/>
      <c r="AB188" s="80"/>
    </row>
    <row r="189" spans="1:28" s="76" customFormat="1" ht="25.5" x14ac:dyDescent="0.25">
      <c r="A189" s="9" t="s">
        <v>103</v>
      </c>
      <c r="B189" s="15" t="s">
        <v>65</v>
      </c>
      <c r="C189" s="15" t="s">
        <v>38</v>
      </c>
      <c r="D189" s="29">
        <v>0</v>
      </c>
      <c r="E189" s="29" t="s">
        <v>1163</v>
      </c>
      <c r="F189" s="29" t="s">
        <v>1164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121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80" t="s">
        <v>1165</v>
      </c>
      <c r="AB189" s="80" t="s">
        <v>1165</v>
      </c>
    </row>
    <row r="190" spans="1:28" s="76" customFormat="1" ht="25.5" x14ac:dyDescent="0.25">
      <c r="A190" s="9" t="s">
        <v>104</v>
      </c>
      <c r="B190" s="15" t="s">
        <v>66</v>
      </c>
      <c r="C190" s="15" t="s">
        <v>38</v>
      </c>
      <c r="D190" s="29">
        <v>0</v>
      </c>
      <c r="E190" s="29" t="s">
        <v>1690</v>
      </c>
      <c r="F190" s="29" t="s">
        <v>1693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121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80" t="s">
        <v>1166</v>
      </c>
      <c r="AB190" s="80" t="s">
        <v>1166</v>
      </c>
    </row>
    <row r="191" spans="1:28" s="76" customFormat="1" ht="25.5" x14ac:dyDescent="0.25">
      <c r="A191" s="9" t="s">
        <v>105</v>
      </c>
      <c r="B191" s="15" t="s">
        <v>67</v>
      </c>
      <c r="C191" s="15" t="s">
        <v>38</v>
      </c>
      <c r="D191" s="29">
        <v>0</v>
      </c>
      <c r="E191" s="29" t="s">
        <v>1691</v>
      </c>
      <c r="F191" s="29" t="s">
        <v>1692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121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80" t="s">
        <v>1167</v>
      </c>
      <c r="AB191" s="80" t="s">
        <v>1167</v>
      </c>
    </row>
    <row r="192" spans="1:28" s="76" customFormat="1" ht="38.25" x14ac:dyDescent="0.25">
      <c r="A192" s="9" t="s">
        <v>106</v>
      </c>
      <c r="B192" s="15" t="s">
        <v>941</v>
      </c>
      <c r="C192" s="15" t="s">
        <v>38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121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80"/>
      <c r="AB192" s="80"/>
    </row>
    <row r="193" spans="1:28" s="76" customFormat="1" ht="25.5" x14ac:dyDescent="0.25">
      <c r="A193" s="13" t="s">
        <v>107</v>
      </c>
      <c r="B193" s="19" t="s">
        <v>40</v>
      </c>
      <c r="C193" s="15" t="s">
        <v>4</v>
      </c>
      <c r="D193" s="96" t="s">
        <v>291</v>
      </c>
      <c r="E193" s="96" t="s">
        <v>291</v>
      </c>
      <c r="F193" s="96" t="s">
        <v>291</v>
      </c>
      <c r="G193" s="96" t="s">
        <v>291</v>
      </c>
      <c r="H193" s="96" t="s">
        <v>291</v>
      </c>
      <c r="I193" s="96" t="s">
        <v>291</v>
      </c>
      <c r="J193" s="96" t="s">
        <v>291</v>
      </c>
      <c r="K193" s="96" t="s">
        <v>291</v>
      </c>
      <c r="L193" s="96" t="s">
        <v>291</v>
      </c>
      <c r="M193" s="96" t="s">
        <v>291</v>
      </c>
      <c r="N193" s="96" t="s">
        <v>291</v>
      </c>
      <c r="O193" s="96" t="s">
        <v>291</v>
      </c>
      <c r="P193" s="96" t="s">
        <v>291</v>
      </c>
      <c r="Q193" s="96" t="s">
        <v>291</v>
      </c>
      <c r="R193" s="96" t="s">
        <v>291</v>
      </c>
      <c r="S193" s="96" t="s">
        <v>291</v>
      </c>
      <c r="T193" s="96" t="s">
        <v>291</v>
      </c>
      <c r="U193" s="120" t="s">
        <v>291</v>
      </c>
      <c r="V193" s="96" t="s">
        <v>291</v>
      </c>
      <c r="W193" s="96" t="s">
        <v>291</v>
      </c>
      <c r="X193" s="96" t="s">
        <v>291</v>
      </c>
      <c r="Y193" s="96" t="s">
        <v>291</v>
      </c>
      <c r="Z193" s="96" t="s">
        <v>291</v>
      </c>
      <c r="AA193" s="80"/>
      <c r="AB193" s="80"/>
    </row>
    <row r="194" spans="1:28" s="76" customFormat="1" x14ac:dyDescent="0.25">
      <c r="A194" s="9" t="s">
        <v>108</v>
      </c>
      <c r="B194" s="15" t="s">
        <v>2</v>
      </c>
      <c r="C194" s="15" t="s">
        <v>4</v>
      </c>
      <c r="D194" s="29" t="s">
        <v>98</v>
      </c>
      <c r="E194" s="29" t="s">
        <v>98</v>
      </c>
      <c r="F194" s="29" t="s">
        <v>98</v>
      </c>
      <c r="G194" s="29" t="s">
        <v>98</v>
      </c>
      <c r="H194" s="29" t="s">
        <v>98</v>
      </c>
      <c r="I194" s="29" t="s">
        <v>98</v>
      </c>
      <c r="J194" s="29" t="s">
        <v>98</v>
      </c>
      <c r="K194" s="29" t="s">
        <v>98</v>
      </c>
      <c r="L194" s="29" t="s">
        <v>98</v>
      </c>
      <c r="M194" s="29" t="s">
        <v>98</v>
      </c>
      <c r="N194" s="29" t="s">
        <v>98</v>
      </c>
      <c r="O194" s="29" t="s">
        <v>98</v>
      </c>
      <c r="P194" s="29" t="s">
        <v>98</v>
      </c>
      <c r="Q194" s="29" t="s">
        <v>98</v>
      </c>
      <c r="R194" s="29" t="s">
        <v>98</v>
      </c>
      <c r="S194" s="29" t="s">
        <v>98</v>
      </c>
      <c r="T194" s="29" t="s">
        <v>98</v>
      </c>
      <c r="U194" s="121" t="s">
        <v>98</v>
      </c>
      <c r="V194" s="29" t="s">
        <v>98</v>
      </c>
      <c r="W194" s="29" t="s">
        <v>98</v>
      </c>
      <c r="X194" s="29" t="s">
        <v>98</v>
      </c>
      <c r="Y194" s="29" t="s">
        <v>98</v>
      </c>
      <c r="Z194" s="29" t="s">
        <v>98</v>
      </c>
      <c r="AA194" s="80"/>
      <c r="AB194" s="80"/>
    </row>
    <row r="195" spans="1:28" s="76" customFormat="1" ht="25.5" x14ac:dyDescent="0.25">
      <c r="A195" s="9" t="s">
        <v>109</v>
      </c>
      <c r="B195" s="15" t="s">
        <v>61</v>
      </c>
      <c r="C195" s="15" t="s">
        <v>224</v>
      </c>
      <c r="D195" s="29"/>
      <c r="E195" s="29" t="s">
        <v>1168</v>
      </c>
      <c r="F195" s="29" t="s">
        <v>1169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121"/>
      <c r="V195" s="29"/>
      <c r="W195" s="29"/>
      <c r="X195" s="29"/>
      <c r="Y195" s="29"/>
      <c r="Z195" s="29"/>
      <c r="AA195" s="80"/>
      <c r="AB195" s="80"/>
    </row>
    <row r="196" spans="1:28" s="76" customFormat="1" ht="25.5" hidden="1" x14ac:dyDescent="0.25">
      <c r="A196" s="9"/>
      <c r="B196" s="107" t="s">
        <v>44</v>
      </c>
      <c r="C196" s="15"/>
      <c r="D196" s="29" t="s">
        <v>1170</v>
      </c>
      <c r="E196" s="29" t="s">
        <v>1171</v>
      </c>
      <c r="F196" s="29" t="s">
        <v>1172</v>
      </c>
      <c r="G196" s="29" t="s">
        <v>1173</v>
      </c>
      <c r="H196" s="29" t="s">
        <v>1174</v>
      </c>
      <c r="I196" s="29" t="s">
        <v>1175</v>
      </c>
      <c r="J196" s="29">
        <v>0</v>
      </c>
      <c r="K196" s="29">
        <v>0</v>
      </c>
      <c r="L196" s="29" t="s">
        <v>1176</v>
      </c>
      <c r="M196" s="29">
        <v>0</v>
      </c>
      <c r="N196" s="29" t="s">
        <v>1177</v>
      </c>
      <c r="O196" s="29" t="s">
        <v>1178</v>
      </c>
      <c r="P196" s="29" t="s">
        <v>1179</v>
      </c>
      <c r="Q196" s="29" t="s">
        <v>1180</v>
      </c>
      <c r="R196" s="29" t="s">
        <v>1181</v>
      </c>
      <c r="S196" s="29" t="s">
        <v>1182</v>
      </c>
      <c r="T196" s="29" t="s">
        <v>1183</v>
      </c>
      <c r="U196" s="121">
        <v>0</v>
      </c>
      <c r="V196" s="29" t="s">
        <v>1184</v>
      </c>
      <c r="W196" s="29">
        <v>0</v>
      </c>
      <c r="X196" s="29" t="s">
        <v>1185</v>
      </c>
      <c r="Y196" s="29" t="s">
        <v>1186</v>
      </c>
      <c r="Z196" s="29">
        <v>0</v>
      </c>
      <c r="AA196" s="80"/>
      <c r="AB196" s="80"/>
    </row>
    <row r="197" spans="1:28" s="76" customFormat="1" x14ac:dyDescent="0.25">
      <c r="A197" s="9" t="s">
        <v>110</v>
      </c>
      <c r="B197" s="15" t="s">
        <v>62</v>
      </c>
      <c r="C197" s="15" t="s">
        <v>38</v>
      </c>
      <c r="D197" s="29" t="s">
        <v>1187</v>
      </c>
      <c r="E197" s="29" t="s">
        <v>1188</v>
      </c>
      <c r="F197" s="29" t="s">
        <v>1189</v>
      </c>
      <c r="G197" s="29" t="s">
        <v>1190</v>
      </c>
      <c r="H197" s="29" t="s">
        <v>1191</v>
      </c>
      <c r="I197" s="29" t="s">
        <v>1192</v>
      </c>
      <c r="J197" s="29" t="s">
        <v>1193</v>
      </c>
      <c r="K197" s="29" t="s">
        <v>1194</v>
      </c>
      <c r="L197" s="29" t="s">
        <v>1195</v>
      </c>
      <c r="M197" s="29" t="s">
        <v>1196</v>
      </c>
      <c r="N197" s="29" t="s">
        <v>1197</v>
      </c>
      <c r="O197" s="29" t="s">
        <v>1198</v>
      </c>
      <c r="P197" s="29" t="s">
        <v>1199</v>
      </c>
      <c r="Q197" s="29" t="s">
        <v>1200</v>
      </c>
      <c r="R197" s="29" t="s">
        <v>1201</v>
      </c>
      <c r="S197" s="29" t="s">
        <v>1202</v>
      </c>
      <c r="T197" s="29" t="s">
        <v>1203</v>
      </c>
      <c r="U197" s="121">
        <v>0</v>
      </c>
      <c r="V197" s="29" t="s">
        <v>1204</v>
      </c>
      <c r="W197" s="29" t="s">
        <v>1205</v>
      </c>
      <c r="X197" s="29" t="s">
        <v>1206</v>
      </c>
      <c r="Y197" s="29" t="s">
        <v>1207</v>
      </c>
      <c r="Z197" s="29" t="s">
        <v>1208</v>
      </c>
      <c r="AA197" s="80" t="s">
        <v>1209</v>
      </c>
      <c r="AB197" s="80" t="s">
        <v>1209</v>
      </c>
    </row>
    <row r="198" spans="1:28" s="76" customFormat="1" x14ac:dyDescent="0.25">
      <c r="A198" s="9" t="s">
        <v>111</v>
      </c>
      <c r="B198" s="15" t="s">
        <v>63</v>
      </c>
      <c r="C198" s="15" t="s">
        <v>38</v>
      </c>
      <c r="D198" s="29" t="s">
        <v>1210</v>
      </c>
      <c r="E198" s="29" t="s">
        <v>1211</v>
      </c>
      <c r="F198" s="29" t="s">
        <v>1212</v>
      </c>
      <c r="G198" s="29" t="s">
        <v>1213</v>
      </c>
      <c r="H198" s="29" t="s">
        <v>1214</v>
      </c>
      <c r="I198" s="29" t="s">
        <v>1215</v>
      </c>
      <c r="J198" s="29" t="s">
        <v>1216</v>
      </c>
      <c r="K198" s="29" t="s">
        <v>1217</v>
      </c>
      <c r="L198" s="29" t="s">
        <v>1218</v>
      </c>
      <c r="M198" s="29" t="s">
        <v>1219</v>
      </c>
      <c r="N198" s="29" t="s">
        <v>1220</v>
      </c>
      <c r="O198" s="29" t="s">
        <v>1221</v>
      </c>
      <c r="P198" s="29" t="s">
        <v>1222</v>
      </c>
      <c r="Q198" s="29" t="s">
        <v>1223</v>
      </c>
      <c r="R198" s="29" t="s">
        <v>1224</v>
      </c>
      <c r="S198" s="29" t="s">
        <v>1225</v>
      </c>
      <c r="T198" s="29" t="s">
        <v>1226</v>
      </c>
      <c r="U198" s="121">
        <v>0</v>
      </c>
      <c r="V198" s="29" t="s">
        <v>1227</v>
      </c>
      <c r="W198" s="29" t="s">
        <v>1228</v>
      </c>
      <c r="X198" s="29" t="s">
        <v>1229</v>
      </c>
      <c r="Y198" s="29" t="s">
        <v>1230</v>
      </c>
      <c r="Z198" s="29" t="s">
        <v>1231</v>
      </c>
      <c r="AA198" s="80"/>
      <c r="AB198" s="80"/>
    </row>
    <row r="199" spans="1:28" s="76" customFormat="1" x14ac:dyDescent="0.25">
      <c r="A199" s="9" t="s">
        <v>112</v>
      </c>
      <c r="B199" s="15" t="s">
        <v>64</v>
      </c>
      <c r="C199" s="15" t="s">
        <v>38</v>
      </c>
      <c r="D199" s="29" t="s">
        <v>1232</v>
      </c>
      <c r="E199" s="29" t="s">
        <v>1233</v>
      </c>
      <c r="F199" s="29" t="s">
        <v>1234</v>
      </c>
      <c r="G199" s="29" t="s">
        <v>1235</v>
      </c>
      <c r="H199" s="29" t="s">
        <v>1236</v>
      </c>
      <c r="I199" s="29" t="s">
        <v>1237</v>
      </c>
      <c r="J199" s="29" t="s">
        <v>1238</v>
      </c>
      <c r="K199" s="29" t="s">
        <v>1239</v>
      </c>
      <c r="L199" s="29" t="s">
        <v>1240</v>
      </c>
      <c r="M199" s="29" t="s">
        <v>1241</v>
      </c>
      <c r="N199" s="29" t="s">
        <v>1242</v>
      </c>
      <c r="O199" s="29" t="s">
        <v>1243</v>
      </c>
      <c r="P199" s="29" t="s">
        <v>1244</v>
      </c>
      <c r="Q199" s="29" t="s">
        <v>1245</v>
      </c>
      <c r="R199" s="29" t="s">
        <v>1246</v>
      </c>
      <c r="S199" s="29" t="s">
        <v>1247</v>
      </c>
      <c r="T199" s="29" t="s">
        <v>1248</v>
      </c>
      <c r="U199" s="121">
        <v>0</v>
      </c>
      <c r="V199" s="29" t="s">
        <v>1249</v>
      </c>
      <c r="W199" s="29" t="s">
        <v>1250</v>
      </c>
      <c r="X199" s="29" t="s">
        <v>1251</v>
      </c>
      <c r="Y199" s="29" t="s">
        <v>1252</v>
      </c>
      <c r="Z199" s="29" t="s">
        <v>1253</v>
      </c>
      <c r="AA199" s="80"/>
      <c r="AB199" s="80"/>
    </row>
    <row r="200" spans="1:28" s="76" customFormat="1" ht="25.5" x14ac:dyDescent="0.25">
      <c r="A200" s="9" t="s">
        <v>113</v>
      </c>
      <c r="B200" s="15" t="s">
        <v>65</v>
      </c>
      <c r="C200" s="15" t="s">
        <v>38</v>
      </c>
      <c r="D200" s="29">
        <v>0</v>
      </c>
      <c r="E200" s="29" t="s">
        <v>1254</v>
      </c>
      <c r="F200" s="29" t="s">
        <v>1255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121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80" t="s">
        <v>1256</v>
      </c>
      <c r="AB200" s="80" t="s">
        <v>1256</v>
      </c>
    </row>
    <row r="201" spans="1:28" s="76" customFormat="1" ht="25.5" x14ac:dyDescent="0.25">
      <c r="A201" s="9" t="s">
        <v>114</v>
      </c>
      <c r="B201" s="15" t="s">
        <v>66</v>
      </c>
      <c r="C201" s="15" t="s">
        <v>38</v>
      </c>
      <c r="D201" s="29">
        <v>0</v>
      </c>
      <c r="E201" s="29" t="s">
        <v>1694</v>
      </c>
      <c r="F201" s="29" t="s">
        <v>1695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121">
        <v>0</v>
      </c>
      <c r="V201" s="29">
        <v>0</v>
      </c>
      <c r="W201" s="29">
        <v>0</v>
      </c>
      <c r="X201" s="29">
        <v>0</v>
      </c>
      <c r="Y201" s="29">
        <v>0</v>
      </c>
      <c r="Z201" s="29">
        <v>0</v>
      </c>
      <c r="AA201" s="80" t="s">
        <v>1257</v>
      </c>
      <c r="AB201" s="80" t="s">
        <v>1257</v>
      </c>
    </row>
    <row r="202" spans="1:28" s="76" customFormat="1" ht="25.5" x14ac:dyDescent="0.25">
      <c r="A202" s="9" t="s">
        <v>115</v>
      </c>
      <c r="B202" s="15" t="s">
        <v>67</v>
      </c>
      <c r="C202" s="15" t="s">
        <v>38</v>
      </c>
      <c r="D202" s="29">
        <v>0</v>
      </c>
      <c r="E202" s="29" t="s">
        <v>1697</v>
      </c>
      <c r="F202" s="29" t="s">
        <v>1696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121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80" t="s">
        <v>1258</v>
      </c>
      <c r="AB202" s="80" t="s">
        <v>1258</v>
      </c>
    </row>
    <row r="203" spans="1:28" s="76" customFormat="1" ht="38.25" x14ac:dyDescent="0.25">
      <c r="A203" s="9" t="s">
        <v>116</v>
      </c>
      <c r="B203" s="15" t="s">
        <v>941</v>
      </c>
      <c r="C203" s="15" t="s">
        <v>38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121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80"/>
      <c r="AB203" s="80"/>
    </row>
    <row r="204" spans="1:28" s="76" customFormat="1" x14ac:dyDescent="0.25">
      <c r="A204" s="13" t="s">
        <v>117</v>
      </c>
      <c r="B204" s="19" t="s">
        <v>40</v>
      </c>
      <c r="C204" s="15" t="s">
        <v>4</v>
      </c>
      <c r="D204" s="96" t="s">
        <v>118</v>
      </c>
      <c r="E204" s="96" t="s">
        <v>118</v>
      </c>
      <c r="F204" s="96" t="s">
        <v>118</v>
      </c>
      <c r="G204" s="96" t="s">
        <v>118</v>
      </c>
      <c r="H204" s="96" t="s">
        <v>118</v>
      </c>
      <c r="I204" s="96" t="s">
        <v>118</v>
      </c>
      <c r="J204" s="96" t="s">
        <v>118</v>
      </c>
      <c r="K204" s="96" t="s">
        <v>118</v>
      </c>
      <c r="L204" s="96" t="s">
        <v>118</v>
      </c>
      <c r="M204" s="96" t="s">
        <v>118</v>
      </c>
      <c r="N204" s="96" t="s">
        <v>118</v>
      </c>
      <c r="O204" s="96" t="s">
        <v>118</v>
      </c>
      <c r="P204" s="96" t="s">
        <v>118</v>
      </c>
      <c r="Q204" s="96" t="s">
        <v>118</v>
      </c>
      <c r="R204" s="96" t="s">
        <v>118</v>
      </c>
      <c r="S204" s="96" t="s">
        <v>118</v>
      </c>
      <c r="T204" s="96" t="s">
        <v>118</v>
      </c>
      <c r="U204" s="120" t="s">
        <v>118</v>
      </c>
      <c r="V204" s="96" t="s">
        <v>118</v>
      </c>
      <c r="W204" s="96" t="s">
        <v>118</v>
      </c>
      <c r="X204" s="96" t="s">
        <v>118</v>
      </c>
      <c r="Y204" s="96" t="s">
        <v>118</v>
      </c>
      <c r="Z204" s="96" t="s">
        <v>118</v>
      </c>
      <c r="AA204" s="80"/>
      <c r="AB204" s="80"/>
    </row>
    <row r="205" spans="1:28" s="76" customFormat="1" x14ac:dyDescent="0.25">
      <c r="A205" s="9" t="s">
        <v>119</v>
      </c>
      <c r="B205" s="15" t="s">
        <v>2</v>
      </c>
      <c r="C205" s="15" t="s">
        <v>4</v>
      </c>
      <c r="D205" s="29" t="s">
        <v>98</v>
      </c>
      <c r="E205" s="29" t="s">
        <v>98</v>
      </c>
      <c r="F205" s="29" t="s">
        <v>98</v>
      </c>
      <c r="G205" s="29" t="s">
        <v>98</v>
      </c>
      <c r="H205" s="29" t="s">
        <v>98</v>
      </c>
      <c r="I205" s="29" t="s">
        <v>98</v>
      </c>
      <c r="J205" s="29" t="s">
        <v>98</v>
      </c>
      <c r="K205" s="29" t="s">
        <v>98</v>
      </c>
      <c r="L205" s="29" t="s">
        <v>98</v>
      </c>
      <c r="M205" s="29" t="s">
        <v>98</v>
      </c>
      <c r="N205" s="29" t="s">
        <v>98</v>
      </c>
      <c r="O205" s="29" t="s">
        <v>98</v>
      </c>
      <c r="P205" s="29" t="s">
        <v>98</v>
      </c>
      <c r="Q205" s="29" t="s">
        <v>98</v>
      </c>
      <c r="R205" s="29" t="s">
        <v>98</v>
      </c>
      <c r="S205" s="29" t="s">
        <v>98</v>
      </c>
      <c r="T205" s="29" t="s">
        <v>98</v>
      </c>
      <c r="U205" s="121" t="s">
        <v>98</v>
      </c>
      <c r="V205" s="29" t="s">
        <v>98</v>
      </c>
      <c r="W205" s="29" t="s">
        <v>98</v>
      </c>
      <c r="X205" s="29" t="s">
        <v>98</v>
      </c>
      <c r="Y205" s="29" t="s">
        <v>98</v>
      </c>
      <c r="Z205" s="29" t="s">
        <v>98</v>
      </c>
      <c r="AA205" s="80"/>
      <c r="AB205" s="80"/>
    </row>
    <row r="206" spans="1:28" s="76" customFormat="1" ht="25.5" x14ac:dyDescent="0.25">
      <c r="A206" s="9" t="s">
        <v>120</v>
      </c>
      <c r="B206" s="15" t="s">
        <v>61</v>
      </c>
      <c r="C206" s="15" t="s">
        <v>224</v>
      </c>
      <c r="D206" s="29">
        <v>9118</v>
      </c>
      <c r="E206" s="29">
        <v>38550</v>
      </c>
      <c r="F206" s="29">
        <v>5892</v>
      </c>
      <c r="G206" s="29">
        <v>27320</v>
      </c>
      <c r="H206" s="29">
        <v>39924</v>
      </c>
      <c r="I206" s="29">
        <v>51262</v>
      </c>
      <c r="J206" s="29">
        <v>18392</v>
      </c>
      <c r="K206" s="29">
        <v>46437</v>
      </c>
      <c r="L206" s="29">
        <v>53374</v>
      </c>
      <c r="M206" s="29">
        <v>39132</v>
      </c>
      <c r="N206" s="29">
        <v>68437</v>
      </c>
      <c r="O206" s="29">
        <v>23662</v>
      </c>
      <c r="P206" s="29">
        <v>22427</v>
      </c>
      <c r="Q206" s="29">
        <v>22403</v>
      </c>
      <c r="R206" s="29">
        <v>53697</v>
      </c>
      <c r="S206" s="29">
        <v>27974</v>
      </c>
      <c r="T206" s="29">
        <v>26956</v>
      </c>
      <c r="U206" s="121">
        <v>107</v>
      </c>
      <c r="V206" s="29">
        <v>34429</v>
      </c>
      <c r="W206" s="29">
        <v>4462</v>
      </c>
      <c r="X206" s="29">
        <v>19340</v>
      </c>
      <c r="Y206" s="29">
        <v>13016</v>
      </c>
      <c r="Z206" s="29">
        <v>2127</v>
      </c>
      <c r="AA206" s="80"/>
      <c r="AB206" s="80"/>
    </row>
    <row r="207" spans="1:28" s="76" customFormat="1" ht="25.5" hidden="1" x14ac:dyDescent="0.25">
      <c r="A207" s="9"/>
      <c r="B207" s="107" t="s">
        <v>44</v>
      </c>
      <c r="C207" s="15"/>
      <c r="D207" s="29" t="s">
        <v>1259</v>
      </c>
      <c r="E207" s="29" t="s">
        <v>1260</v>
      </c>
      <c r="F207" s="29" t="s">
        <v>1261</v>
      </c>
      <c r="G207" s="29" t="s">
        <v>1262</v>
      </c>
      <c r="H207" s="29" t="s">
        <v>1263</v>
      </c>
      <c r="I207" s="29" t="s">
        <v>1264</v>
      </c>
      <c r="J207" s="29">
        <v>0</v>
      </c>
      <c r="K207" s="29">
        <v>0</v>
      </c>
      <c r="L207" s="29" t="s">
        <v>1265</v>
      </c>
      <c r="M207" s="29">
        <v>0</v>
      </c>
      <c r="N207" s="29" t="s">
        <v>1266</v>
      </c>
      <c r="O207" s="29" t="s">
        <v>1267</v>
      </c>
      <c r="P207" s="29" t="s">
        <v>1268</v>
      </c>
      <c r="Q207" s="29" t="s">
        <v>1269</v>
      </c>
      <c r="R207" s="29" t="s">
        <v>1270</v>
      </c>
      <c r="S207" s="29" t="s">
        <v>1271</v>
      </c>
      <c r="T207" s="29" t="s">
        <v>1272</v>
      </c>
      <c r="U207" s="121">
        <v>0</v>
      </c>
      <c r="V207" s="29" t="s">
        <v>1273</v>
      </c>
      <c r="W207" s="29">
        <v>0</v>
      </c>
      <c r="X207" s="29" t="s">
        <v>1274</v>
      </c>
      <c r="Y207" s="29" t="s">
        <v>1275</v>
      </c>
      <c r="Z207" s="29">
        <v>0</v>
      </c>
      <c r="AA207" s="80"/>
      <c r="AB207" s="80"/>
    </row>
    <row r="208" spans="1:28" s="76" customFormat="1" x14ac:dyDescent="0.25">
      <c r="A208" s="9" t="s">
        <v>121</v>
      </c>
      <c r="B208" s="15" t="s">
        <v>62</v>
      </c>
      <c r="C208" s="15" t="s">
        <v>38</v>
      </c>
      <c r="D208" s="29" t="s">
        <v>1276</v>
      </c>
      <c r="E208" s="29" t="s">
        <v>1277</v>
      </c>
      <c r="F208" s="29" t="s">
        <v>1278</v>
      </c>
      <c r="G208" s="29" t="s">
        <v>1279</v>
      </c>
      <c r="H208" s="29" t="s">
        <v>1280</v>
      </c>
      <c r="I208" s="29" t="s">
        <v>1281</v>
      </c>
      <c r="J208" s="29" t="s">
        <v>1282</v>
      </c>
      <c r="K208" s="29" t="s">
        <v>1283</v>
      </c>
      <c r="L208" s="29" t="s">
        <v>1284</v>
      </c>
      <c r="M208" s="29" t="s">
        <v>1285</v>
      </c>
      <c r="N208" s="29" t="s">
        <v>1286</v>
      </c>
      <c r="O208" s="29" t="s">
        <v>1287</v>
      </c>
      <c r="P208" s="29" t="s">
        <v>1288</v>
      </c>
      <c r="Q208" s="29" t="s">
        <v>1289</v>
      </c>
      <c r="R208" s="29" t="s">
        <v>1290</v>
      </c>
      <c r="S208" s="29" t="s">
        <v>1291</v>
      </c>
      <c r="T208" s="29" t="s">
        <v>1292</v>
      </c>
      <c r="U208" s="121">
        <v>0</v>
      </c>
      <c r="V208" s="29" t="s">
        <v>1293</v>
      </c>
      <c r="W208" s="29" t="s">
        <v>1294</v>
      </c>
      <c r="X208" s="29" t="s">
        <v>1295</v>
      </c>
      <c r="Y208" s="29" t="s">
        <v>1296</v>
      </c>
      <c r="Z208" s="29" t="s">
        <v>1297</v>
      </c>
      <c r="AA208" s="80" t="s">
        <v>1298</v>
      </c>
      <c r="AB208" s="80" t="s">
        <v>1298</v>
      </c>
    </row>
    <row r="209" spans="1:29" s="76" customFormat="1" x14ac:dyDescent="0.25">
      <c r="A209" s="9" t="s">
        <v>122</v>
      </c>
      <c r="B209" s="15" t="s">
        <v>63</v>
      </c>
      <c r="C209" s="15" t="s">
        <v>38</v>
      </c>
      <c r="D209" s="29" t="s">
        <v>1299</v>
      </c>
      <c r="E209" s="29" t="s">
        <v>1300</v>
      </c>
      <c r="F209" s="29" t="s">
        <v>1301</v>
      </c>
      <c r="G209" s="29" t="s">
        <v>1302</v>
      </c>
      <c r="H209" s="29" t="s">
        <v>1303</v>
      </c>
      <c r="I209" s="29" t="s">
        <v>1304</v>
      </c>
      <c r="J209" s="29" t="s">
        <v>1305</v>
      </c>
      <c r="K209" s="29" t="s">
        <v>1306</v>
      </c>
      <c r="L209" s="29" t="s">
        <v>1307</v>
      </c>
      <c r="M209" s="29" t="s">
        <v>1308</v>
      </c>
      <c r="N209" s="29" t="s">
        <v>1309</v>
      </c>
      <c r="O209" s="29" t="s">
        <v>1310</v>
      </c>
      <c r="P209" s="29" t="s">
        <v>1311</v>
      </c>
      <c r="Q209" s="29" t="s">
        <v>1312</v>
      </c>
      <c r="R209" s="29">
        <v>968228.00000000012</v>
      </c>
      <c r="S209" s="29" t="s">
        <v>1313</v>
      </c>
      <c r="T209" s="29" t="s">
        <v>1314</v>
      </c>
      <c r="U209" s="121">
        <v>0</v>
      </c>
      <c r="V209" s="29" t="s">
        <v>1315</v>
      </c>
      <c r="W209" s="29" t="s">
        <v>1316</v>
      </c>
      <c r="X209" s="29" t="s">
        <v>1317</v>
      </c>
      <c r="Y209" s="29" t="s">
        <v>1318</v>
      </c>
      <c r="Z209" s="29" t="s">
        <v>1319</v>
      </c>
      <c r="AA209" s="80"/>
      <c r="AB209" s="80"/>
    </row>
    <row r="210" spans="1:29" s="76" customFormat="1" x14ac:dyDescent="0.25">
      <c r="A210" s="9" t="s">
        <v>123</v>
      </c>
      <c r="B210" s="15" t="s">
        <v>64</v>
      </c>
      <c r="C210" s="15" t="s">
        <v>38</v>
      </c>
      <c r="D210" s="29" t="s">
        <v>1320</v>
      </c>
      <c r="E210" s="29" t="s">
        <v>1321</v>
      </c>
      <c r="F210" s="29" t="s">
        <v>1322</v>
      </c>
      <c r="G210" s="29" t="s">
        <v>1323</v>
      </c>
      <c r="H210" s="29" t="s">
        <v>1324</v>
      </c>
      <c r="I210" s="29" t="s">
        <v>1325</v>
      </c>
      <c r="J210" s="29" t="s">
        <v>1326</v>
      </c>
      <c r="K210" s="29" t="s">
        <v>1327</v>
      </c>
      <c r="L210" s="29" t="s">
        <v>1328</v>
      </c>
      <c r="M210" s="29" t="s">
        <v>1329</v>
      </c>
      <c r="N210" s="29" t="s">
        <v>1330</v>
      </c>
      <c r="O210" s="29" t="s">
        <v>1331</v>
      </c>
      <c r="P210" s="29" t="s">
        <v>1332</v>
      </c>
      <c r="Q210" s="29" t="s">
        <v>1333</v>
      </c>
      <c r="R210" s="29" t="s">
        <v>1334</v>
      </c>
      <c r="S210" s="29" t="s">
        <v>1335</v>
      </c>
      <c r="T210" s="29" t="s">
        <v>1336</v>
      </c>
      <c r="U210" s="121">
        <v>0</v>
      </c>
      <c r="V210" s="29" t="s">
        <v>1337</v>
      </c>
      <c r="W210" s="29" t="s">
        <v>1338</v>
      </c>
      <c r="X210" s="29">
        <v>78692</v>
      </c>
      <c r="Y210" s="29" t="s">
        <v>1339</v>
      </c>
      <c r="Z210" s="29" t="s">
        <v>1340</v>
      </c>
      <c r="AA210" s="80"/>
      <c r="AB210" s="80"/>
    </row>
    <row r="211" spans="1:29" s="76" customFormat="1" ht="25.5" x14ac:dyDescent="0.25">
      <c r="A211" s="9" t="s">
        <v>124</v>
      </c>
      <c r="B211" s="15" t="s">
        <v>65</v>
      </c>
      <c r="C211" s="15" t="s">
        <v>38</v>
      </c>
      <c r="D211" s="29" t="s">
        <v>1341</v>
      </c>
      <c r="E211" s="29" t="s">
        <v>1342</v>
      </c>
      <c r="F211" s="29" t="s">
        <v>1343</v>
      </c>
      <c r="G211" s="29" t="s">
        <v>1344</v>
      </c>
      <c r="H211" s="29" t="s">
        <v>1345</v>
      </c>
      <c r="I211" s="29" t="s">
        <v>1346</v>
      </c>
      <c r="J211" s="29" t="s">
        <v>1347</v>
      </c>
      <c r="K211" s="29" t="s">
        <v>1348</v>
      </c>
      <c r="L211" s="29" t="s">
        <v>1349</v>
      </c>
      <c r="M211" s="29" t="s">
        <v>1350</v>
      </c>
      <c r="N211" s="29" t="s">
        <v>1351</v>
      </c>
      <c r="O211" s="29" t="s">
        <v>1352</v>
      </c>
      <c r="P211" s="29" t="s">
        <v>1353</v>
      </c>
      <c r="Q211" s="29" t="s">
        <v>1354</v>
      </c>
      <c r="R211" s="29" t="s">
        <v>1355</v>
      </c>
      <c r="S211" s="29" t="s">
        <v>1356</v>
      </c>
      <c r="T211" s="29" t="s">
        <v>1357</v>
      </c>
      <c r="U211" s="121" t="s">
        <v>1358</v>
      </c>
      <c r="V211" s="29" t="s">
        <v>1359</v>
      </c>
      <c r="W211" s="29" t="s">
        <v>1360</v>
      </c>
      <c r="X211" s="29" t="s">
        <v>1361</v>
      </c>
      <c r="Y211" s="29">
        <v>427264</v>
      </c>
      <c r="Z211" s="29" t="s">
        <v>1362</v>
      </c>
      <c r="AA211" s="80" t="s">
        <v>1363</v>
      </c>
      <c r="AB211" s="80" t="s">
        <v>1363</v>
      </c>
      <c r="AC211" s="108"/>
    </row>
    <row r="212" spans="1:29" s="76" customFormat="1" ht="25.5" x14ac:dyDescent="0.25">
      <c r="A212" s="9" t="s">
        <v>125</v>
      </c>
      <c r="B212" s="15" t="s">
        <v>66</v>
      </c>
      <c r="C212" s="15" t="s">
        <v>38</v>
      </c>
      <c r="D212" s="29" t="s">
        <v>1698</v>
      </c>
      <c r="E212" s="29" t="s">
        <v>1699</v>
      </c>
      <c r="F212" s="29" t="s">
        <v>1700</v>
      </c>
      <c r="G212" s="29" t="s">
        <v>1701</v>
      </c>
      <c r="H212" s="29" t="s">
        <v>1702</v>
      </c>
      <c r="I212" s="29" t="s">
        <v>1703</v>
      </c>
      <c r="J212" s="29" t="s">
        <v>1704</v>
      </c>
      <c r="K212" s="29" t="s">
        <v>1705</v>
      </c>
      <c r="L212" s="29" t="s">
        <v>1706</v>
      </c>
      <c r="M212" s="29" t="s">
        <v>1707</v>
      </c>
      <c r="N212" s="29" t="s">
        <v>1708</v>
      </c>
      <c r="O212" s="29" t="s">
        <v>1709</v>
      </c>
      <c r="P212" s="29" t="s">
        <v>1710</v>
      </c>
      <c r="Q212" s="29" t="s">
        <v>1711</v>
      </c>
      <c r="R212" s="29" t="s">
        <v>1712</v>
      </c>
      <c r="S212" s="29" t="s">
        <v>1713</v>
      </c>
      <c r="T212" s="29" t="s">
        <v>1714</v>
      </c>
      <c r="U212" s="121" t="s">
        <v>1364</v>
      </c>
      <c r="V212" s="29" t="s">
        <v>1715</v>
      </c>
      <c r="W212" s="29" t="s">
        <v>1716</v>
      </c>
      <c r="X212" s="29" t="s">
        <v>1717</v>
      </c>
      <c r="Y212" s="29" t="s">
        <v>1718</v>
      </c>
      <c r="Z212" s="29" t="s">
        <v>1719</v>
      </c>
      <c r="AA212" s="80" t="s">
        <v>1365</v>
      </c>
      <c r="AB212" s="80" t="s">
        <v>1365</v>
      </c>
    </row>
    <row r="213" spans="1:29" s="76" customFormat="1" ht="25.5" x14ac:dyDescent="0.25">
      <c r="A213" s="9" t="s">
        <v>126</v>
      </c>
      <c r="B213" s="15" t="s">
        <v>67</v>
      </c>
      <c r="C213" s="15" t="s">
        <v>38</v>
      </c>
      <c r="D213" s="29" t="s">
        <v>1720</v>
      </c>
      <c r="E213" s="29" t="s">
        <v>1721</v>
      </c>
      <c r="F213" s="29" t="s">
        <v>1722</v>
      </c>
      <c r="G213" s="29" t="s">
        <v>1723</v>
      </c>
      <c r="H213" s="29" t="s">
        <v>1724</v>
      </c>
      <c r="I213" s="29" t="s">
        <v>1725</v>
      </c>
      <c r="J213" s="29" t="s">
        <v>1726</v>
      </c>
      <c r="K213" s="29" t="s">
        <v>1727</v>
      </c>
      <c r="L213" s="29" t="s">
        <v>1728</v>
      </c>
      <c r="M213" s="29" t="s">
        <v>1729</v>
      </c>
      <c r="N213" s="29" t="s">
        <v>1730</v>
      </c>
      <c r="O213" s="29" t="s">
        <v>1731</v>
      </c>
      <c r="P213" s="29" t="s">
        <v>1732</v>
      </c>
      <c r="Q213" s="29" t="s">
        <v>1733</v>
      </c>
      <c r="R213" s="29" t="s">
        <v>1734</v>
      </c>
      <c r="S213" s="29" t="s">
        <v>1735</v>
      </c>
      <c r="T213" s="29" t="s">
        <v>1736</v>
      </c>
      <c r="U213" s="121" t="s">
        <v>1366</v>
      </c>
      <c r="V213" s="29" t="s">
        <v>1737</v>
      </c>
      <c r="W213" s="29" t="s">
        <v>1738</v>
      </c>
      <c r="X213" s="29" t="s">
        <v>1739</v>
      </c>
      <c r="Y213" s="29" t="s">
        <v>1740</v>
      </c>
      <c r="Z213" s="29" t="s">
        <v>1741</v>
      </c>
      <c r="AA213" s="80" t="s">
        <v>1367</v>
      </c>
      <c r="AB213" s="80" t="s">
        <v>1367</v>
      </c>
    </row>
    <row r="214" spans="1:29" s="76" customFormat="1" ht="38.25" x14ac:dyDescent="0.25">
      <c r="A214" s="9" t="s">
        <v>127</v>
      </c>
      <c r="B214" s="15" t="s">
        <v>941</v>
      </c>
      <c r="C214" s="15" t="s">
        <v>38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121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80"/>
      <c r="AB214" s="80"/>
    </row>
    <row r="215" spans="1:29" s="76" customFormat="1" x14ac:dyDescent="0.25">
      <c r="A215" s="13" t="s">
        <v>189</v>
      </c>
      <c r="B215" s="19" t="s">
        <v>40</v>
      </c>
      <c r="C215" s="15" t="s">
        <v>4</v>
      </c>
      <c r="D215" s="96" t="s">
        <v>199</v>
      </c>
      <c r="E215" s="96" t="s">
        <v>199</v>
      </c>
      <c r="F215" s="96" t="s">
        <v>199</v>
      </c>
      <c r="G215" s="96" t="s">
        <v>199</v>
      </c>
      <c r="H215" s="96" t="s">
        <v>199</v>
      </c>
      <c r="I215" s="96" t="s">
        <v>199</v>
      </c>
      <c r="J215" s="96" t="s">
        <v>199</v>
      </c>
      <c r="K215" s="96" t="s">
        <v>199</v>
      </c>
      <c r="L215" s="96" t="s">
        <v>199</v>
      </c>
      <c r="M215" s="96" t="s">
        <v>199</v>
      </c>
      <c r="N215" s="96" t="s">
        <v>199</v>
      </c>
      <c r="O215" s="96" t="s">
        <v>199</v>
      </c>
      <c r="P215" s="96" t="s">
        <v>199</v>
      </c>
      <c r="Q215" s="96" t="s">
        <v>199</v>
      </c>
      <c r="R215" s="96" t="s">
        <v>199</v>
      </c>
      <c r="S215" s="96" t="s">
        <v>199</v>
      </c>
      <c r="T215" s="96" t="s">
        <v>199</v>
      </c>
      <c r="U215" s="120" t="s">
        <v>199</v>
      </c>
      <c r="V215" s="96" t="s">
        <v>199</v>
      </c>
      <c r="W215" s="96" t="s">
        <v>199</v>
      </c>
      <c r="X215" s="96" t="s">
        <v>199</v>
      </c>
      <c r="Y215" s="96" t="s">
        <v>199</v>
      </c>
      <c r="Z215" s="96" t="s">
        <v>199</v>
      </c>
      <c r="AA215" s="80"/>
      <c r="AB215" s="80"/>
    </row>
    <row r="216" spans="1:29" s="76" customFormat="1" x14ac:dyDescent="0.25">
      <c r="A216" s="9" t="s">
        <v>190</v>
      </c>
      <c r="B216" s="15" t="s">
        <v>2</v>
      </c>
      <c r="C216" s="15" t="s">
        <v>4</v>
      </c>
      <c r="D216" s="29" t="s">
        <v>98</v>
      </c>
      <c r="E216" s="29" t="s">
        <v>98</v>
      </c>
      <c r="F216" s="29" t="s">
        <v>98</v>
      </c>
      <c r="G216" s="29" t="s">
        <v>98</v>
      </c>
      <c r="H216" s="29" t="s">
        <v>98</v>
      </c>
      <c r="I216" s="29" t="s">
        <v>98</v>
      </c>
      <c r="J216" s="29" t="s">
        <v>98</v>
      </c>
      <c r="K216" s="29" t="s">
        <v>98</v>
      </c>
      <c r="L216" s="29" t="s">
        <v>98</v>
      </c>
      <c r="M216" s="29" t="s">
        <v>98</v>
      </c>
      <c r="N216" s="29" t="s">
        <v>98</v>
      </c>
      <c r="O216" s="29" t="s">
        <v>98</v>
      </c>
      <c r="P216" s="29" t="s">
        <v>98</v>
      </c>
      <c r="Q216" s="29" t="s">
        <v>98</v>
      </c>
      <c r="R216" s="29" t="s">
        <v>98</v>
      </c>
      <c r="S216" s="29" t="s">
        <v>98</v>
      </c>
      <c r="T216" s="29" t="s">
        <v>98</v>
      </c>
      <c r="U216" s="121" t="s">
        <v>98</v>
      </c>
      <c r="V216" s="29" t="s">
        <v>98</v>
      </c>
      <c r="W216" s="29" t="s">
        <v>98</v>
      </c>
      <c r="X216" s="29" t="s">
        <v>98</v>
      </c>
      <c r="Y216" s="29" t="s">
        <v>98</v>
      </c>
      <c r="Z216" s="29" t="s">
        <v>98</v>
      </c>
      <c r="AA216" s="80"/>
      <c r="AB216" s="80"/>
    </row>
    <row r="217" spans="1:29" s="76" customFormat="1" ht="25.5" x14ac:dyDescent="0.25">
      <c r="A217" s="9" t="s">
        <v>191</v>
      </c>
      <c r="B217" s="15" t="s">
        <v>61</v>
      </c>
      <c r="C217" s="15" t="s">
        <v>224</v>
      </c>
      <c r="D217" s="29">
        <v>9118</v>
      </c>
      <c r="E217" s="29">
        <v>70554</v>
      </c>
      <c r="F217" s="29">
        <v>10690</v>
      </c>
      <c r="G217" s="29">
        <v>27320</v>
      </c>
      <c r="H217" s="29">
        <v>39924</v>
      </c>
      <c r="I217" s="29">
        <v>51262</v>
      </c>
      <c r="J217" s="29">
        <v>18392</v>
      </c>
      <c r="K217" s="29">
        <v>46437</v>
      </c>
      <c r="L217" s="29">
        <v>53374</v>
      </c>
      <c r="M217" s="29">
        <v>39132</v>
      </c>
      <c r="N217" s="29">
        <v>68437</v>
      </c>
      <c r="O217" s="29">
        <v>23662</v>
      </c>
      <c r="P217" s="29">
        <v>22427</v>
      </c>
      <c r="Q217" s="29">
        <v>22403</v>
      </c>
      <c r="R217" s="29">
        <v>53697</v>
      </c>
      <c r="S217" s="29">
        <v>27974</v>
      </c>
      <c r="T217" s="29">
        <v>26956</v>
      </c>
      <c r="U217" s="121">
        <v>107</v>
      </c>
      <c r="V217" s="29">
        <v>34429</v>
      </c>
      <c r="W217" s="29">
        <v>4462</v>
      </c>
      <c r="X217" s="29">
        <v>19340</v>
      </c>
      <c r="Y217" s="29">
        <v>13016</v>
      </c>
      <c r="Z217" s="29">
        <v>2127</v>
      </c>
      <c r="AA217" s="80"/>
      <c r="AB217" s="80"/>
    </row>
    <row r="218" spans="1:29" s="76" customFormat="1" ht="25.5" hidden="1" x14ac:dyDescent="0.25">
      <c r="A218" s="9"/>
      <c r="B218" s="107" t="s">
        <v>44</v>
      </c>
      <c r="C218" s="15"/>
      <c r="D218" s="29" t="s">
        <v>1368</v>
      </c>
      <c r="E218" s="29" t="s">
        <v>1369</v>
      </c>
      <c r="F218" s="29" t="s">
        <v>1370</v>
      </c>
      <c r="G218" s="29" t="s">
        <v>1371</v>
      </c>
      <c r="H218" s="29" t="s">
        <v>1372</v>
      </c>
      <c r="I218" s="29" t="s">
        <v>1373</v>
      </c>
      <c r="J218" s="29">
        <v>0</v>
      </c>
      <c r="K218" s="29">
        <v>0</v>
      </c>
      <c r="L218" s="29" t="s">
        <v>1374</v>
      </c>
      <c r="M218" s="29">
        <v>0</v>
      </c>
      <c r="N218" s="29" t="s">
        <v>1375</v>
      </c>
      <c r="O218" s="29" t="s">
        <v>1376</v>
      </c>
      <c r="P218" s="29" t="s">
        <v>1377</v>
      </c>
      <c r="Q218" s="29" t="s">
        <v>1378</v>
      </c>
      <c r="R218" s="29" t="s">
        <v>1379</v>
      </c>
      <c r="S218" s="29" t="s">
        <v>1380</v>
      </c>
      <c r="T218" s="29" t="s">
        <v>1381</v>
      </c>
      <c r="U218" s="121">
        <v>0</v>
      </c>
      <c r="V218" s="29" t="s">
        <v>1382</v>
      </c>
      <c r="W218" s="29">
        <v>0</v>
      </c>
      <c r="X218" s="29" t="s">
        <v>1383</v>
      </c>
      <c r="Y218" s="29" t="s">
        <v>1384</v>
      </c>
      <c r="Z218" s="29">
        <v>0</v>
      </c>
      <c r="AA218" s="80"/>
      <c r="AB218" s="80"/>
    </row>
    <row r="219" spans="1:29" s="76" customFormat="1" x14ac:dyDescent="0.25">
      <c r="A219" s="9" t="s">
        <v>192</v>
      </c>
      <c r="B219" s="15" t="s">
        <v>62</v>
      </c>
      <c r="C219" s="15" t="s">
        <v>38</v>
      </c>
      <c r="D219" s="29" t="s">
        <v>1385</v>
      </c>
      <c r="E219" s="29" t="s">
        <v>1386</v>
      </c>
      <c r="F219" s="29" t="s">
        <v>1387</v>
      </c>
      <c r="G219" s="29" t="s">
        <v>1388</v>
      </c>
      <c r="H219" s="29" t="s">
        <v>1389</v>
      </c>
      <c r="I219" s="29" t="s">
        <v>1390</v>
      </c>
      <c r="J219" s="29" t="s">
        <v>1391</v>
      </c>
      <c r="K219" s="29" t="s">
        <v>1392</v>
      </c>
      <c r="L219" s="29" t="s">
        <v>1393</v>
      </c>
      <c r="M219" s="29" t="s">
        <v>1394</v>
      </c>
      <c r="N219" s="29" t="s">
        <v>1395</v>
      </c>
      <c r="O219" s="29" t="s">
        <v>1396</v>
      </c>
      <c r="P219" s="29" t="s">
        <v>1397</v>
      </c>
      <c r="Q219" s="29" t="s">
        <v>1398</v>
      </c>
      <c r="R219" s="29" t="s">
        <v>1399</v>
      </c>
      <c r="S219" s="29" t="s">
        <v>1400</v>
      </c>
      <c r="T219" s="29" t="s">
        <v>1401</v>
      </c>
      <c r="U219" s="121">
        <v>0</v>
      </c>
      <c r="V219" s="29" t="s">
        <v>1402</v>
      </c>
      <c r="W219" s="29" t="s">
        <v>1403</v>
      </c>
      <c r="X219" s="29" t="s">
        <v>1404</v>
      </c>
      <c r="Y219" s="29" t="s">
        <v>1405</v>
      </c>
      <c r="Z219" s="29" t="s">
        <v>1406</v>
      </c>
      <c r="AA219" s="80" t="s">
        <v>1407</v>
      </c>
      <c r="AB219" s="80" t="s">
        <v>1407</v>
      </c>
    </row>
    <row r="220" spans="1:29" s="76" customFormat="1" x14ac:dyDescent="0.25">
      <c r="A220" s="9" t="s">
        <v>193</v>
      </c>
      <c r="B220" s="15" t="s">
        <v>63</v>
      </c>
      <c r="C220" s="15" t="s">
        <v>38</v>
      </c>
      <c r="D220" s="29" t="s">
        <v>1408</v>
      </c>
      <c r="E220" s="29" t="s">
        <v>1409</v>
      </c>
      <c r="F220" s="29" t="s">
        <v>1410</v>
      </c>
      <c r="G220" s="29" t="s">
        <v>1411</v>
      </c>
      <c r="H220" s="29" t="s">
        <v>1412</v>
      </c>
      <c r="I220" s="29" t="s">
        <v>1413</v>
      </c>
      <c r="J220" s="29" t="s">
        <v>1414</v>
      </c>
      <c r="K220" s="29" t="s">
        <v>1415</v>
      </c>
      <c r="L220" s="29" t="s">
        <v>1416</v>
      </c>
      <c r="M220" s="29" t="s">
        <v>1417</v>
      </c>
      <c r="N220" s="29" t="s">
        <v>1418</v>
      </c>
      <c r="O220" s="29" t="s">
        <v>1419</v>
      </c>
      <c r="P220" s="29" t="s">
        <v>1420</v>
      </c>
      <c r="Q220" s="29" t="s">
        <v>1421</v>
      </c>
      <c r="R220" s="29" t="s">
        <v>1422</v>
      </c>
      <c r="S220" s="29" t="s">
        <v>1423</v>
      </c>
      <c r="T220" s="29" t="s">
        <v>1424</v>
      </c>
      <c r="U220" s="121">
        <v>0</v>
      </c>
      <c r="V220" s="29" t="s">
        <v>1425</v>
      </c>
      <c r="W220" s="29" t="s">
        <v>1426</v>
      </c>
      <c r="X220" s="29" t="s">
        <v>1427</v>
      </c>
      <c r="Y220" s="29" t="s">
        <v>1428</v>
      </c>
      <c r="Z220" s="29" t="s">
        <v>1429</v>
      </c>
      <c r="AA220" s="80"/>
      <c r="AB220" s="80"/>
    </row>
    <row r="221" spans="1:29" s="76" customFormat="1" x14ac:dyDescent="0.25">
      <c r="A221" s="9" t="s">
        <v>194</v>
      </c>
      <c r="B221" s="15" t="s">
        <v>64</v>
      </c>
      <c r="C221" s="15" t="s">
        <v>38</v>
      </c>
      <c r="D221" s="29" t="s">
        <v>1430</v>
      </c>
      <c r="E221" s="29" t="s">
        <v>1431</v>
      </c>
      <c r="F221" s="29" t="s">
        <v>1432</v>
      </c>
      <c r="G221" s="29" t="s">
        <v>1433</v>
      </c>
      <c r="H221" s="29" t="s">
        <v>1434</v>
      </c>
      <c r="I221" s="29" t="s">
        <v>1435</v>
      </c>
      <c r="J221" s="29" t="s">
        <v>1436</v>
      </c>
      <c r="K221" s="29" t="s">
        <v>1437</v>
      </c>
      <c r="L221" s="29" t="s">
        <v>1438</v>
      </c>
      <c r="M221" s="29" t="s">
        <v>1439</v>
      </c>
      <c r="N221" s="29" t="s">
        <v>1440</v>
      </c>
      <c r="O221" s="29" t="s">
        <v>1441</v>
      </c>
      <c r="P221" s="29" t="s">
        <v>1442</v>
      </c>
      <c r="Q221" s="29" t="s">
        <v>1443</v>
      </c>
      <c r="R221" s="29" t="s">
        <v>1444</v>
      </c>
      <c r="S221" s="29" t="s">
        <v>1445</v>
      </c>
      <c r="T221" s="29" t="s">
        <v>1446</v>
      </c>
      <c r="U221" s="121">
        <v>0</v>
      </c>
      <c r="V221" s="29" t="s">
        <v>1447</v>
      </c>
      <c r="W221" s="29" t="s">
        <v>1448</v>
      </c>
      <c r="X221" s="29" t="s">
        <v>1449</v>
      </c>
      <c r="Y221" s="29" t="s">
        <v>1450</v>
      </c>
      <c r="Z221" s="29" t="s">
        <v>1451</v>
      </c>
      <c r="AA221" s="80"/>
      <c r="AB221" s="80"/>
    </row>
    <row r="222" spans="1:29" s="76" customFormat="1" ht="25.5" x14ac:dyDescent="0.25">
      <c r="A222" s="9" t="s">
        <v>195</v>
      </c>
      <c r="B222" s="15" t="s">
        <v>65</v>
      </c>
      <c r="C222" s="15" t="s">
        <v>38</v>
      </c>
      <c r="D222" s="29" t="s">
        <v>1452</v>
      </c>
      <c r="E222" s="29" t="s">
        <v>1453</v>
      </c>
      <c r="F222" s="29" t="s">
        <v>1454</v>
      </c>
      <c r="G222" s="29" t="s">
        <v>1455</v>
      </c>
      <c r="H222" s="29" t="s">
        <v>1456</v>
      </c>
      <c r="I222" s="29" t="s">
        <v>1457</v>
      </c>
      <c r="J222" s="29" t="s">
        <v>1458</v>
      </c>
      <c r="K222" s="29" t="s">
        <v>1459</v>
      </c>
      <c r="L222" s="29" t="s">
        <v>1460</v>
      </c>
      <c r="M222" s="29" t="s">
        <v>1461</v>
      </c>
      <c r="N222" s="29" t="s">
        <v>1462</v>
      </c>
      <c r="O222" s="29" t="s">
        <v>1463</v>
      </c>
      <c r="P222" s="29" t="s">
        <v>1464</v>
      </c>
      <c r="Q222" s="29" t="s">
        <v>1465</v>
      </c>
      <c r="R222" s="29" t="s">
        <v>1466</v>
      </c>
      <c r="S222" s="29" t="s">
        <v>1467</v>
      </c>
      <c r="T222" s="29" t="s">
        <v>1468</v>
      </c>
      <c r="U222" s="121" t="s">
        <v>1469</v>
      </c>
      <c r="V222" s="29" t="s">
        <v>1470</v>
      </c>
      <c r="W222" s="29" t="s">
        <v>1471</v>
      </c>
      <c r="X222" s="29" t="s">
        <v>1472</v>
      </c>
      <c r="Y222" s="29" t="s">
        <v>1473</v>
      </c>
      <c r="Z222" s="29" t="s">
        <v>1474</v>
      </c>
      <c r="AA222" s="80" t="s">
        <v>1475</v>
      </c>
      <c r="AB222" s="80" t="s">
        <v>1475</v>
      </c>
    </row>
    <row r="223" spans="1:29" s="76" customFormat="1" ht="25.5" x14ac:dyDescent="0.25">
      <c r="A223" s="9" t="s">
        <v>196</v>
      </c>
      <c r="B223" s="15" t="s">
        <v>66</v>
      </c>
      <c r="C223" s="15" t="s">
        <v>38</v>
      </c>
      <c r="D223" s="29" t="s">
        <v>1516</v>
      </c>
      <c r="E223" s="29" t="s">
        <v>1742</v>
      </c>
      <c r="F223" s="29" t="s">
        <v>1744</v>
      </c>
      <c r="G223" s="29" t="s">
        <v>1747</v>
      </c>
      <c r="H223" s="29" t="s">
        <v>1748</v>
      </c>
      <c r="I223" s="29" t="s">
        <v>1751</v>
      </c>
      <c r="J223" s="29" t="s">
        <v>1752</v>
      </c>
      <c r="K223" s="29" t="s">
        <v>1753</v>
      </c>
      <c r="L223" s="29" t="s">
        <v>1754</v>
      </c>
      <c r="M223" s="29" t="s">
        <v>1755</v>
      </c>
      <c r="N223" s="29" t="s">
        <v>1756</v>
      </c>
      <c r="O223" s="29" t="s">
        <v>1757</v>
      </c>
      <c r="P223" s="29" t="s">
        <v>1758</v>
      </c>
      <c r="Q223" s="29" t="s">
        <v>1759</v>
      </c>
      <c r="R223" s="29" t="s">
        <v>1760</v>
      </c>
      <c r="S223" s="29" t="s">
        <v>1761</v>
      </c>
      <c r="T223" s="29" t="s">
        <v>1762</v>
      </c>
      <c r="U223" s="121" t="s">
        <v>1476</v>
      </c>
      <c r="V223" s="29" t="s">
        <v>1763</v>
      </c>
      <c r="W223" s="29" t="s">
        <v>1764</v>
      </c>
      <c r="X223" s="29" t="s">
        <v>1765</v>
      </c>
      <c r="Y223" s="29" t="s">
        <v>1766</v>
      </c>
      <c r="Z223" s="29" t="s">
        <v>1767</v>
      </c>
      <c r="AA223" s="80" t="s">
        <v>1477</v>
      </c>
      <c r="AB223" s="80" t="s">
        <v>1477</v>
      </c>
    </row>
    <row r="224" spans="1:29" s="76" customFormat="1" ht="25.5" x14ac:dyDescent="0.25">
      <c r="A224" s="9" t="s">
        <v>197</v>
      </c>
      <c r="B224" s="15" t="s">
        <v>67</v>
      </c>
      <c r="C224" s="15" t="s">
        <v>38</v>
      </c>
      <c r="D224" s="29" t="s">
        <v>1517</v>
      </c>
      <c r="E224" s="29" t="s">
        <v>1743</v>
      </c>
      <c r="F224" s="29" t="s">
        <v>1745</v>
      </c>
      <c r="G224" s="29" t="s">
        <v>1746</v>
      </c>
      <c r="H224" s="29" t="s">
        <v>1749</v>
      </c>
      <c r="I224" s="29" t="s">
        <v>1750</v>
      </c>
      <c r="J224" s="29" t="s">
        <v>1478</v>
      </c>
      <c r="K224" s="29" t="s">
        <v>1479</v>
      </c>
      <c r="L224" s="29" t="s">
        <v>1480</v>
      </c>
      <c r="M224" s="29" t="s">
        <v>1481</v>
      </c>
      <c r="N224" s="29" t="s">
        <v>1482</v>
      </c>
      <c r="O224" s="29" t="s">
        <v>1483</v>
      </c>
      <c r="P224" s="29">
        <v>101782</v>
      </c>
      <c r="Q224" s="29" t="s">
        <v>1484</v>
      </c>
      <c r="R224" s="29" t="s">
        <v>1485</v>
      </c>
      <c r="S224" s="29" t="s">
        <v>1486</v>
      </c>
      <c r="T224" s="29" t="s">
        <v>1487</v>
      </c>
      <c r="U224" s="121" t="s">
        <v>1488</v>
      </c>
      <c r="V224" s="29" t="s">
        <v>1489</v>
      </c>
      <c r="W224" s="29" t="s">
        <v>1490</v>
      </c>
      <c r="X224" s="29" t="s">
        <v>1491</v>
      </c>
      <c r="Y224" s="29" t="s">
        <v>1492</v>
      </c>
      <c r="Z224" s="29" t="s">
        <v>1493</v>
      </c>
      <c r="AA224" s="80" t="s">
        <v>1494</v>
      </c>
      <c r="AB224" s="80" t="s">
        <v>1494</v>
      </c>
    </row>
    <row r="225" spans="1:28" s="76" customFormat="1" ht="38.25" x14ac:dyDescent="0.25">
      <c r="A225" s="9" t="s">
        <v>198</v>
      </c>
      <c r="B225" s="15" t="s">
        <v>941</v>
      </c>
      <c r="C225" s="15" t="s">
        <v>38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121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80"/>
      <c r="AB225" s="80"/>
    </row>
    <row r="226" spans="1:28" s="76" customFormat="1" ht="42" customHeight="1" x14ac:dyDescent="0.25">
      <c r="A226" s="213" t="s">
        <v>128</v>
      </c>
      <c r="B226" s="213"/>
      <c r="C226" s="21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24"/>
      <c r="V226" s="104"/>
      <c r="W226" s="104"/>
      <c r="X226" s="104"/>
      <c r="Y226" s="104"/>
      <c r="Z226" s="104"/>
      <c r="AA226" s="80"/>
      <c r="AB226" s="80"/>
    </row>
    <row r="227" spans="1:28" s="76" customFormat="1" x14ac:dyDescent="0.25">
      <c r="A227" s="9" t="s">
        <v>69</v>
      </c>
      <c r="B227" s="15" t="s">
        <v>56</v>
      </c>
      <c r="C227" s="15" t="s">
        <v>29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1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121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80"/>
      <c r="AB227" s="80"/>
    </row>
    <row r="228" spans="1:28" s="76" customFormat="1" x14ac:dyDescent="0.25">
      <c r="A228" s="9" t="s">
        <v>70</v>
      </c>
      <c r="B228" s="15" t="s">
        <v>57</v>
      </c>
      <c r="C228" s="15" t="s">
        <v>29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121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80"/>
      <c r="AB228" s="80"/>
    </row>
    <row r="229" spans="1:28" s="76" customFormat="1" ht="25.5" x14ac:dyDescent="0.25">
      <c r="A229" s="9" t="s">
        <v>71</v>
      </c>
      <c r="B229" s="15" t="s">
        <v>797</v>
      </c>
      <c r="C229" s="15" t="s">
        <v>29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121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80"/>
      <c r="AB229" s="80"/>
    </row>
    <row r="230" spans="1:28" s="76" customFormat="1" x14ac:dyDescent="0.25">
      <c r="A230" s="9" t="s">
        <v>72</v>
      </c>
      <c r="B230" s="15" t="s">
        <v>59</v>
      </c>
      <c r="C230" s="15" t="s">
        <v>38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 t="s">
        <v>1495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121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80"/>
      <c r="AB230" s="80"/>
    </row>
    <row r="231" spans="1:28" s="76" customFormat="1" ht="37.5" customHeight="1" x14ac:dyDescent="0.25">
      <c r="A231" s="213" t="s">
        <v>139</v>
      </c>
      <c r="B231" s="213"/>
      <c r="C231" s="21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118"/>
      <c r="V231" s="94"/>
      <c r="W231" s="94"/>
      <c r="X231" s="94"/>
      <c r="Y231" s="94"/>
      <c r="Z231" s="94"/>
      <c r="AA231" s="80"/>
      <c r="AB231" s="80"/>
    </row>
    <row r="232" spans="1:28" ht="25.5" x14ac:dyDescent="0.25">
      <c r="A232" s="9" t="s">
        <v>140</v>
      </c>
      <c r="B232" s="15" t="s">
        <v>141</v>
      </c>
      <c r="C232" s="24" t="s">
        <v>29</v>
      </c>
      <c r="D232" s="29">
        <v>52</v>
      </c>
      <c r="E232" s="29">
        <v>105</v>
      </c>
      <c r="F232" s="29">
        <v>2</v>
      </c>
      <c r="G232" s="29">
        <v>156</v>
      </c>
      <c r="H232" s="29">
        <v>201</v>
      </c>
      <c r="I232" s="29">
        <v>312</v>
      </c>
      <c r="J232" s="29">
        <v>523</v>
      </c>
      <c r="K232" s="29">
        <v>602</v>
      </c>
      <c r="L232" s="29">
        <v>710</v>
      </c>
      <c r="M232" s="29">
        <v>823</v>
      </c>
      <c r="N232" s="29">
        <v>225</v>
      </c>
      <c r="O232" s="29">
        <v>45</v>
      </c>
      <c r="P232" s="29">
        <v>36</v>
      </c>
      <c r="Q232" s="29">
        <v>28</v>
      </c>
      <c r="R232" s="29">
        <v>313</v>
      </c>
      <c r="S232" s="29">
        <v>27</v>
      </c>
      <c r="T232" s="29">
        <v>22</v>
      </c>
      <c r="U232" s="121">
        <v>0</v>
      </c>
      <c r="V232" s="29">
        <v>26</v>
      </c>
      <c r="W232" s="29">
        <v>19</v>
      </c>
      <c r="X232" s="29">
        <v>202</v>
      </c>
      <c r="Y232" s="29">
        <v>260</v>
      </c>
      <c r="Z232" s="29">
        <v>10</v>
      </c>
    </row>
    <row r="233" spans="1:28" x14ac:dyDescent="0.25">
      <c r="A233" s="9" t="s">
        <v>142</v>
      </c>
      <c r="B233" s="15" t="s">
        <v>143</v>
      </c>
      <c r="C233" s="24" t="s">
        <v>29</v>
      </c>
      <c r="D233" s="29">
        <v>3</v>
      </c>
      <c r="E233" s="29">
        <v>3</v>
      </c>
      <c r="F233" s="29">
        <v>0</v>
      </c>
      <c r="G233" s="29">
        <v>6</v>
      </c>
      <c r="H233" s="29">
        <v>3</v>
      </c>
      <c r="I233" s="29">
        <v>4</v>
      </c>
      <c r="J233" s="29">
        <v>25</v>
      </c>
      <c r="K233" s="29">
        <v>10</v>
      </c>
      <c r="L233" s="29">
        <v>10</v>
      </c>
      <c r="M233" s="29">
        <v>11</v>
      </c>
      <c r="N233" s="29">
        <v>5</v>
      </c>
      <c r="O233" s="29">
        <v>1</v>
      </c>
      <c r="P233" s="29">
        <v>1</v>
      </c>
      <c r="Q233" s="29">
        <v>1</v>
      </c>
      <c r="R233" s="29">
        <v>10</v>
      </c>
      <c r="S233" s="29">
        <v>1</v>
      </c>
      <c r="T233" s="29">
        <v>2</v>
      </c>
      <c r="U233" s="121">
        <v>0</v>
      </c>
      <c r="V233" s="29">
        <v>0</v>
      </c>
      <c r="W233" s="29">
        <v>0</v>
      </c>
      <c r="X233" s="29">
        <v>25</v>
      </c>
      <c r="Y233" s="29">
        <v>16</v>
      </c>
      <c r="Z233" s="29">
        <v>1</v>
      </c>
    </row>
    <row r="234" spans="1:28" ht="25.5" x14ac:dyDescent="0.25">
      <c r="A234" s="17" t="s">
        <v>144</v>
      </c>
      <c r="B234" s="15" t="s">
        <v>145</v>
      </c>
      <c r="C234" s="24" t="s">
        <v>38</v>
      </c>
      <c r="D234" s="29" t="s">
        <v>1496</v>
      </c>
      <c r="E234" s="29" t="s">
        <v>1497</v>
      </c>
      <c r="F234" s="29">
        <v>0</v>
      </c>
      <c r="G234" s="29" t="s">
        <v>1498</v>
      </c>
      <c r="H234" s="29" t="s">
        <v>1499</v>
      </c>
      <c r="I234" s="29" t="s">
        <v>1500</v>
      </c>
      <c r="J234" s="29">
        <v>1330215</v>
      </c>
      <c r="K234" s="29" t="s">
        <v>1501</v>
      </c>
      <c r="L234" s="29" t="s">
        <v>1502</v>
      </c>
      <c r="M234" s="29" t="s">
        <v>1503</v>
      </c>
      <c r="N234" s="29" t="s">
        <v>1504</v>
      </c>
      <c r="O234" s="29" t="s">
        <v>1505</v>
      </c>
      <c r="P234" s="29" t="s">
        <v>1506</v>
      </c>
      <c r="Q234" s="29" t="s">
        <v>1507</v>
      </c>
      <c r="R234" s="29" t="s">
        <v>1508</v>
      </c>
      <c r="S234" s="29" t="s">
        <v>1509</v>
      </c>
      <c r="T234" s="29" t="s">
        <v>1510</v>
      </c>
      <c r="U234" s="121">
        <v>0</v>
      </c>
      <c r="V234" s="29">
        <v>0</v>
      </c>
      <c r="W234" s="29">
        <v>0</v>
      </c>
      <c r="X234" s="29" t="s">
        <v>1511</v>
      </c>
      <c r="Y234" s="29" t="s">
        <v>1512</v>
      </c>
      <c r="Z234" s="29" t="s">
        <v>1513</v>
      </c>
    </row>
    <row r="235" spans="1:28" x14ac:dyDescent="0.25">
      <c r="AA235" s="98" t="s">
        <v>1514</v>
      </c>
      <c r="AB235" s="98" t="s">
        <v>1515</v>
      </c>
    </row>
  </sheetData>
  <autoFilter ref="A3:AD3" xr:uid="{00000000-0009-0000-0000-000008000000}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Форма 2.8 Шаблон</vt:lpstr>
      <vt:lpstr>Форма 2.8</vt:lpstr>
      <vt:lpstr>Лист6</vt:lpstr>
      <vt:lpstr>Лист3</vt:lpstr>
      <vt:lpstr>Лист4</vt:lpstr>
      <vt:lpstr>Лист2</vt:lpstr>
      <vt:lpstr>Лист5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2019-03-21T12:30:07Z</cp:lastPrinted>
  <dcterms:created xsi:type="dcterms:W3CDTF">2015-05-16T07:11:00Z</dcterms:created>
  <dcterms:modified xsi:type="dcterms:W3CDTF">2021-03-17T14:04:31Z</dcterms:modified>
</cp:coreProperties>
</file>